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0" yWindow="240" windowWidth="25300" windowHeight="13980" tabRatio="500"/>
  </bookViews>
  <sheets>
    <sheet name="Prospekt Oslo Børs" sheetId="2" r:id="rId1"/>
    <sheet name="Låneavtaler Nordic ABM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3" l="1"/>
  <c r="S3" i="3"/>
  <c r="M4" i="3"/>
  <c r="S4" i="3"/>
  <c r="O5" i="3"/>
  <c r="M5" i="3"/>
  <c r="S5" i="3"/>
  <c r="M6" i="3"/>
  <c r="S6" i="3"/>
  <c r="M7" i="3"/>
  <c r="S7" i="3"/>
  <c r="S8" i="3"/>
  <c r="S9" i="3"/>
  <c r="S10" i="3"/>
  <c r="O11" i="3"/>
  <c r="S11" i="3"/>
  <c r="M12" i="3"/>
  <c r="S12" i="3"/>
  <c r="S13" i="3"/>
  <c r="S14" i="3"/>
  <c r="S15" i="3"/>
  <c r="S16" i="3"/>
  <c r="S17" i="3"/>
  <c r="M18" i="3"/>
  <c r="S18" i="3"/>
  <c r="M19" i="3"/>
  <c r="S19" i="3"/>
  <c r="S20" i="3"/>
  <c r="S21" i="3"/>
  <c r="M22" i="3"/>
  <c r="S22" i="3"/>
  <c r="M23" i="3"/>
  <c r="S23" i="3"/>
  <c r="M24" i="3"/>
  <c r="S24" i="3"/>
  <c r="M25" i="3"/>
  <c r="S25" i="3"/>
  <c r="M26" i="3"/>
  <c r="S26" i="3"/>
  <c r="M27" i="3"/>
  <c r="S27" i="3"/>
  <c r="S28" i="3"/>
  <c r="M29" i="3"/>
  <c r="S29" i="3"/>
  <c r="M30" i="3"/>
  <c r="S30" i="3"/>
  <c r="M31" i="3"/>
  <c r="S31" i="3"/>
  <c r="M32" i="3"/>
  <c r="S32" i="3"/>
  <c r="G33" i="3"/>
  <c r="L33" i="3"/>
  <c r="S33" i="3"/>
  <c r="M34" i="3"/>
  <c r="S34" i="3"/>
  <c r="M35" i="3"/>
  <c r="S35" i="3"/>
  <c r="M36" i="3"/>
  <c r="S36" i="3"/>
  <c r="M37" i="3"/>
  <c r="S37" i="3"/>
  <c r="M38" i="3"/>
  <c r="S38" i="3"/>
  <c r="M39" i="3"/>
  <c r="S39" i="3"/>
  <c r="D40" i="3"/>
  <c r="S40" i="3"/>
  <c r="M41" i="3"/>
  <c r="S41" i="3"/>
  <c r="M42" i="3"/>
  <c r="S42" i="3"/>
  <c r="M43" i="3"/>
  <c r="S43" i="3"/>
  <c r="M44" i="3"/>
  <c r="S44" i="3"/>
  <c r="M45" i="3"/>
  <c r="S45" i="3"/>
  <c r="M46" i="3"/>
  <c r="S46" i="3"/>
  <c r="M47" i="3"/>
  <c r="S47" i="3"/>
  <c r="S48" i="3"/>
  <c r="M49" i="3"/>
  <c r="S49" i="3"/>
  <c r="S50" i="3"/>
  <c r="M51" i="3"/>
  <c r="S51" i="3"/>
  <c r="M52" i="3"/>
  <c r="S52" i="3"/>
  <c r="S53" i="3"/>
  <c r="M54" i="3"/>
  <c r="S54" i="3"/>
  <c r="S55" i="3"/>
  <c r="M56" i="3"/>
  <c r="S56" i="3"/>
  <c r="S57" i="3"/>
  <c r="M58" i="3"/>
  <c r="S58" i="3"/>
  <c r="S59" i="3"/>
  <c r="M60" i="3"/>
  <c r="S60" i="3"/>
  <c r="M61" i="3"/>
  <c r="S61" i="3"/>
  <c r="M62" i="3"/>
  <c r="S62" i="3"/>
  <c r="S63" i="3"/>
  <c r="S64" i="3"/>
  <c r="M65" i="3"/>
  <c r="S65" i="3"/>
  <c r="S66" i="3"/>
  <c r="M67" i="3"/>
  <c r="S67" i="3"/>
  <c r="M68" i="3"/>
  <c r="S68" i="3"/>
  <c r="S69" i="3"/>
  <c r="S70" i="3"/>
  <c r="M71" i="3"/>
  <c r="S71" i="3"/>
  <c r="M72" i="3"/>
  <c r="S72" i="3"/>
  <c r="S73" i="3"/>
  <c r="M74" i="3"/>
  <c r="S74" i="3"/>
  <c r="S75" i="3"/>
  <c r="M76" i="3"/>
  <c r="S76" i="3"/>
  <c r="S77" i="3"/>
  <c r="M78" i="3"/>
  <c r="S78" i="3"/>
  <c r="M79" i="3"/>
  <c r="S79" i="3"/>
  <c r="S80" i="3"/>
  <c r="M81" i="3"/>
  <c r="S81" i="3"/>
  <c r="M82" i="3"/>
  <c r="S82" i="3"/>
  <c r="D83" i="3"/>
  <c r="G83" i="3"/>
  <c r="S83" i="3"/>
  <c r="G84" i="3"/>
  <c r="S84" i="3"/>
  <c r="M85" i="3"/>
  <c r="S85" i="3"/>
  <c r="S86" i="3"/>
  <c r="M87" i="3"/>
  <c r="S87" i="3"/>
  <c r="M88" i="3"/>
  <c r="S88" i="3"/>
  <c r="S89" i="3"/>
  <c r="S90" i="3"/>
  <c r="S91" i="3"/>
  <c r="M92" i="3"/>
  <c r="S92" i="3"/>
  <c r="M93" i="3"/>
  <c r="S93" i="3"/>
  <c r="M94" i="3"/>
  <c r="S94" i="3"/>
  <c r="M95" i="3"/>
  <c r="S95" i="3"/>
  <c r="M96" i="3"/>
  <c r="S96" i="3"/>
  <c r="M97" i="3"/>
  <c r="S97" i="3"/>
  <c r="M98" i="3"/>
  <c r="S98" i="3"/>
  <c r="M99" i="3"/>
  <c r="S99" i="3"/>
  <c r="M100" i="3"/>
  <c r="S100" i="3"/>
  <c r="M101" i="3"/>
  <c r="S101" i="3"/>
  <c r="M102" i="3"/>
  <c r="S102" i="3"/>
  <c r="M103" i="3"/>
  <c r="S103" i="3"/>
  <c r="M104" i="3"/>
  <c r="S104" i="3"/>
  <c r="M105" i="3"/>
  <c r="S105" i="3"/>
  <c r="M106" i="3"/>
  <c r="S106" i="3"/>
  <c r="M107" i="3"/>
  <c r="S107" i="3"/>
  <c r="M108" i="3"/>
  <c r="S108" i="3"/>
  <c r="M109" i="3"/>
  <c r="S109" i="3"/>
  <c r="M110" i="3"/>
  <c r="S110" i="3"/>
  <c r="M111" i="3"/>
  <c r="S111" i="3"/>
  <c r="M112" i="3"/>
  <c r="S112" i="3"/>
  <c r="M113" i="3"/>
  <c r="S113" i="3"/>
  <c r="M114" i="3"/>
  <c r="S114" i="3"/>
  <c r="M115" i="3"/>
  <c r="S115" i="3"/>
  <c r="M116" i="3"/>
  <c r="S116" i="3"/>
  <c r="S117" i="3"/>
  <c r="S118" i="3"/>
  <c r="S119" i="3"/>
  <c r="S120" i="3"/>
  <c r="M121" i="3"/>
  <c r="S121" i="3"/>
  <c r="M122" i="3"/>
  <c r="S122" i="3"/>
  <c r="M123" i="3"/>
  <c r="S123" i="3"/>
  <c r="M124" i="3"/>
  <c r="S124" i="3"/>
  <c r="M125" i="3"/>
  <c r="S125" i="3"/>
  <c r="M126" i="3"/>
  <c r="S126" i="3"/>
  <c r="M127" i="3"/>
  <c r="S127" i="3"/>
  <c r="M128" i="3"/>
  <c r="S128" i="3"/>
  <c r="S129" i="3"/>
  <c r="M130" i="3"/>
  <c r="S130" i="3"/>
  <c r="M131" i="3"/>
  <c r="S131" i="3"/>
  <c r="M132" i="3"/>
  <c r="S132" i="3"/>
  <c r="M133" i="3"/>
  <c r="S133" i="3"/>
  <c r="M134" i="3"/>
  <c r="S134" i="3"/>
  <c r="M135" i="3"/>
  <c r="S135" i="3"/>
  <c r="M136" i="3"/>
  <c r="S136" i="3"/>
  <c r="M137" i="3"/>
  <c r="S137" i="3"/>
  <c r="M138" i="3"/>
  <c r="S138" i="3"/>
  <c r="M139" i="3"/>
  <c r="S139" i="3"/>
  <c r="M140" i="3"/>
  <c r="S140" i="3"/>
  <c r="M141" i="3"/>
  <c r="S141" i="3"/>
  <c r="M142" i="3"/>
  <c r="S142" i="3"/>
  <c r="M143" i="3"/>
  <c r="S143" i="3"/>
  <c r="M144" i="3"/>
  <c r="S144" i="3"/>
  <c r="M145" i="3"/>
  <c r="S145" i="3"/>
  <c r="M146" i="3"/>
  <c r="S146" i="3"/>
  <c r="M147" i="3"/>
  <c r="S147" i="3"/>
  <c r="M148" i="3"/>
  <c r="S148" i="3"/>
  <c r="S149" i="3"/>
  <c r="M150" i="3"/>
  <c r="S150" i="3"/>
  <c r="M151" i="3"/>
  <c r="S151" i="3"/>
  <c r="M152" i="3"/>
  <c r="S152" i="3"/>
  <c r="M153" i="3"/>
  <c r="S153" i="3"/>
  <c r="M154" i="3"/>
  <c r="S154" i="3"/>
  <c r="S155" i="3"/>
  <c r="M156" i="3"/>
  <c r="S156" i="3"/>
  <c r="G157" i="3"/>
  <c r="S157" i="3"/>
  <c r="M158" i="3"/>
  <c r="S158" i="3"/>
  <c r="M159" i="3"/>
  <c r="S159" i="3"/>
  <c r="M160" i="3"/>
  <c r="S160" i="3"/>
  <c r="M161" i="3"/>
  <c r="S161" i="3"/>
  <c r="M162" i="3"/>
  <c r="S162" i="3"/>
  <c r="M163" i="3"/>
  <c r="S163" i="3"/>
  <c r="M164" i="3"/>
  <c r="S164" i="3"/>
  <c r="M165" i="3"/>
  <c r="S165" i="3"/>
  <c r="M166" i="3"/>
  <c r="S166" i="3"/>
  <c r="M167" i="3"/>
  <c r="S167" i="3"/>
  <c r="M168" i="3"/>
  <c r="S168" i="3"/>
  <c r="M169" i="3"/>
  <c r="S169" i="3"/>
  <c r="S170" i="3"/>
  <c r="M171" i="3"/>
  <c r="S171" i="3"/>
  <c r="M172" i="3"/>
  <c r="S172" i="3"/>
  <c r="M173" i="3"/>
  <c r="S173" i="3"/>
  <c r="S174" i="3"/>
  <c r="M175" i="3"/>
  <c r="S175" i="3"/>
  <c r="S176" i="3"/>
  <c r="S177" i="3"/>
  <c r="M178" i="3"/>
  <c r="S178" i="3"/>
  <c r="S179" i="3"/>
  <c r="M180" i="3"/>
  <c r="S180" i="3"/>
  <c r="M181" i="3"/>
  <c r="S181" i="3"/>
  <c r="S182" i="3"/>
  <c r="M183" i="3"/>
  <c r="S183" i="3"/>
  <c r="S184" i="3"/>
  <c r="M185" i="3"/>
  <c r="S185" i="3"/>
  <c r="M186" i="3"/>
  <c r="S186" i="3"/>
  <c r="M187" i="3"/>
  <c r="S187" i="3"/>
  <c r="M188" i="3"/>
  <c r="S188" i="3"/>
  <c r="M189" i="3"/>
  <c r="S189" i="3"/>
  <c r="M190" i="3"/>
  <c r="S190" i="3"/>
  <c r="M191" i="3"/>
  <c r="S191" i="3"/>
  <c r="M192" i="3"/>
  <c r="S192" i="3"/>
  <c r="M193" i="3"/>
  <c r="S193" i="3"/>
  <c r="M194" i="3"/>
  <c r="S194" i="3"/>
  <c r="M195" i="3"/>
  <c r="S195" i="3"/>
  <c r="M196" i="3"/>
  <c r="S196" i="3"/>
  <c r="M197" i="3"/>
  <c r="S197" i="3"/>
  <c r="M198" i="3"/>
  <c r="S198" i="3"/>
  <c r="M199" i="3"/>
  <c r="S199" i="3"/>
  <c r="M200" i="3"/>
  <c r="S200" i="3"/>
  <c r="M201" i="3"/>
  <c r="S201" i="3"/>
  <c r="M202" i="3"/>
  <c r="S202" i="3"/>
  <c r="M203" i="3"/>
  <c r="S203" i="3"/>
  <c r="M204" i="3"/>
  <c r="S204" i="3"/>
  <c r="M205" i="3"/>
  <c r="S205" i="3"/>
  <c r="M206" i="3"/>
  <c r="S206" i="3"/>
  <c r="M207" i="3"/>
  <c r="S207" i="3"/>
  <c r="M208" i="3"/>
  <c r="S208" i="3"/>
  <c r="M209" i="3"/>
  <c r="S209" i="3"/>
  <c r="M210" i="3"/>
  <c r="S210" i="3"/>
  <c r="G502" i="3"/>
  <c r="G503" i="3"/>
  <c r="G504" i="3"/>
  <c r="G549" i="3"/>
  <c r="G550" i="3"/>
  <c r="G551" i="3"/>
  <c r="G575" i="3"/>
  <c r="G386" i="3"/>
  <c r="G350" i="3"/>
  <c r="G351" i="3"/>
  <c r="G352" i="3"/>
  <c r="G353" i="3"/>
  <c r="G354" i="3"/>
  <c r="G355" i="3"/>
  <c r="G356" i="3"/>
  <c r="G374" i="3"/>
  <c r="G375" i="3"/>
  <c r="G346" i="3"/>
  <c r="G270" i="3"/>
  <c r="G271" i="3"/>
  <c r="G272" i="3"/>
  <c r="G281" i="3"/>
  <c r="G283" i="3"/>
  <c r="G222" i="3"/>
  <c r="G223" i="3"/>
  <c r="G224" i="3"/>
  <c r="G236" i="3"/>
  <c r="G238" i="3"/>
  <c r="G220" i="3"/>
  <c r="G211" i="3"/>
  <c r="L447" i="3"/>
  <c r="L448" i="3"/>
  <c r="L449" i="3"/>
  <c r="L452" i="3"/>
  <c r="L456" i="3"/>
  <c r="L457" i="3"/>
  <c r="L461" i="3"/>
  <c r="L465" i="3"/>
  <c r="L466" i="3"/>
  <c r="L482" i="3"/>
  <c r="L483" i="3"/>
  <c r="L484" i="3"/>
  <c r="L485" i="3"/>
  <c r="L486" i="3"/>
  <c r="L492" i="3"/>
  <c r="L493" i="3"/>
  <c r="L494" i="3"/>
  <c r="L495" i="3"/>
  <c r="L496" i="3"/>
  <c r="L497" i="3"/>
  <c r="L498" i="3"/>
  <c r="L499" i="3"/>
  <c r="L504" i="3"/>
  <c r="L505" i="3"/>
  <c r="L506" i="3"/>
  <c r="L525" i="3"/>
  <c r="L526" i="3"/>
  <c r="L537" i="3"/>
  <c r="L538" i="3"/>
  <c r="L539" i="3"/>
  <c r="L540" i="3"/>
  <c r="L541" i="3"/>
  <c r="L544" i="3"/>
  <c r="L545" i="3"/>
  <c r="L546" i="3"/>
  <c r="L547" i="3"/>
  <c r="L548" i="3"/>
  <c r="L554" i="3"/>
  <c r="L555" i="3"/>
  <c r="L559" i="3"/>
  <c r="L560" i="3"/>
  <c r="L562" i="3"/>
  <c r="L563" i="3"/>
  <c r="L565" i="3"/>
  <c r="L566" i="3"/>
  <c r="L567" i="3"/>
  <c r="L574" i="3"/>
  <c r="L575" i="3"/>
  <c r="L576" i="3"/>
  <c r="L577" i="3"/>
  <c r="L578" i="3"/>
  <c r="L580" i="3"/>
  <c r="L581" i="3"/>
  <c r="L582" i="3"/>
  <c r="L583" i="3"/>
  <c r="L588" i="3"/>
  <c r="L596" i="3"/>
  <c r="L598" i="3"/>
  <c r="L599" i="3"/>
  <c r="L600" i="3"/>
  <c r="L605" i="3"/>
  <c r="L609" i="3"/>
  <c r="L610" i="3"/>
  <c r="L614" i="3"/>
  <c r="L616" i="3"/>
  <c r="L617" i="3"/>
  <c r="L618" i="3"/>
  <c r="L619" i="3"/>
  <c r="L620" i="3"/>
  <c r="L621" i="3"/>
  <c r="L406" i="3"/>
  <c r="L407" i="3"/>
  <c r="L408" i="3"/>
  <c r="L410" i="3"/>
  <c r="L412" i="3"/>
  <c r="L414" i="3"/>
  <c r="L415" i="3"/>
  <c r="L416" i="3"/>
  <c r="L418" i="3"/>
  <c r="L385" i="3"/>
  <c r="L391" i="3"/>
  <c r="L392" i="3"/>
  <c r="L393" i="3"/>
  <c r="L394" i="3"/>
  <c r="L395" i="3"/>
  <c r="L396" i="3"/>
  <c r="L401" i="3"/>
  <c r="L402" i="3"/>
  <c r="L355" i="3"/>
  <c r="L357" i="3"/>
  <c r="L358" i="3"/>
  <c r="L361" i="3"/>
  <c r="L362" i="3"/>
  <c r="L364" i="3"/>
  <c r="L368" i="3"/>
  <c r="L369" i="3"/>
  <c r="L371" i="3"/>
  <c r="L372" i="3"/>
  <c r="L379" i="3"/>
  <c r="L319" i="3"/>
  <c r="L320" i="3"/>
  <c r="L321" i="3"/>
  <c r="L322" i="3"/>
  <c r="L323" i="3"/>
  <c r="L324" i="3"/>
  <c r="L328" i="3"/>
  <c r="L329" i="3"/>
  <c r="L331" i="3"/>
  <c r="L337" i="3"/>
  <c r="L338" i="3"/>
  <c r="L339" i="3"/>
  <c r="L340" i="3"/>
  <c r="L341" i="3"/>
  <c r="L342" i="3"/>
  <c r="L343" i="3"/>
  <c r="L344" i="3"/>
  <c r="L345" i="3"/>
  <c r="L347" i="3"/>
  <c r="L348" i="3"/>
  <c r="L297" i="3"/>
  <c r="L298" i="3"/>
  <c r="L299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263" i="3"/>
  <c r="L267" i="3"/>
  <c r="L268" i="3"/>
  <c r="L269" i="3"/>
  <c r="L276" i="3"/>
  <c r="L278" i="3"/>
  <c r="L279" i="3"/>
  <c r="L283" i="3"/>
  <c r="L286" i="3"/>
  <c r="L291" i="3"/>
  <c r="L292" i="3"/>
  <c r="L293" i="3"/>
  <c r="L294" i="3"/>
  <c r="L224" i="3"/>
  <c r="L230" i="3"/>
  <c r="L231" i="3"/>
  <c r="L237" i="3"/>
  <c r="L239" i="3"/>
  <c r="L240" i="3"/>
  <c r="L247" i="3"/>
  <c r="L249" i="3"/>
  <c r="L250" i="3"/>
  <c r="L251" i="3"/>
  <c r="L256" i="3"/>
  <c r="L260" i="3"/>
  <c r="L211" i="3"/>
  <c r="S211" i="3"/>
  <c r="G212" i="3"/>
  <c r="L212" i="3"/>
  <c r="S212" i="3"/>
  <c r="G213" i="3"/>
  <c r="L213" i="3"/>
  <c r="S213" i="3"/>
  <c r="G214" i="3"/>
  <c r="L214" i="3"/>
  <c r="S214" i="3"/>
  <c r="G521" i="3"/>
  <c r="G522" i="3"/>
  <c r="G524" i="3"/>
  <c r="G542" i="3"/>
  <c r="G544" i="3"/>
  <c r="G548" i="3"/>
  <c r="G569" i="3"/>
  <c r="G576" i="3"/>
  <c r="G577" i="3"/>
  <c r="G578" i="3"/>
  <c r="G579" i="3"/>
  <c r="G580" i="3"/>
  <c r="G581" i="3"/>
  <c r="G601" i="3"/>
  <c r="G602" i="3"/>
  <c r="G603" i="3"/>
  <c r="G604" i="3"/>
  <c r="G605" i="3"/>
  <c r="G404" i="3"/>
  <c r="G405" i="3"/>
  <c r="G406" i="3"/>
  <c r="G409" i="3"/>
  <c r="G357" i="3"/>
  <c r="G319" i="3"/>
  <c r="G320" i="3"/>
  <c r="G343" i="3"/>
  <c r="G344" i="3"/>
  <c r="G345" i="3"/>
  <c r="G309" i="3"/>
  <c r="G310" i="3"/>
  <c r="G311" i="3"/>
  <c r="G312" i="3"/>
  <c r="G313" i="3"/>
  <c r="G314" i="3"/>
  <c r="G315" i="3"/>
  <c r="G262" i="3"/>
  <c r="G263" i="3"/>
  <c r="G264" i="3"/>
  <c r="G265" i="3"/>
  <c r="G284" i="3"/>
  <c r="G289" i="3"/>
  <c r="G232" i="3"/>
  <c r="G233" i="3"/>
  <c r="G234" i="3"/>
  <c r="G235" i="3"/>
  <c r="G237" i="3"/>
  <c r="G215" i="3"/>
  <c r="L215" i="3"/>
  <c r="S215" i="3"/>
  <c r="G216" i="3"/>
  <c r="L216" i="3"/>
  <c r="S216" i="3"/>
  <c r="L458" i="3"/>
  <c r="L459" i="3"/>
  <c r="L460" i="3"/>
  <c r="L462" i="3"/>
  <c r="L463" i="3"/>
  <c r="L464" i="3"/>
  <c r="L468" i="3"/>
  <c r="L471" i="3"/>
  <c r="L472" i="3"/>
  <c r="L473" i="3"/>
  <c r="L474" i="3"/>
  <c r="L475" i="3"/>
  <c r="L476" i="3"/>
  <c r="L477" i="3"/>
  <c r="L478" i="3"/>
  <c r="L479" i="3"/>
  <c r="L480" i="3"/>
  <c r="L481" i="3"/>
  <c r="L487" i="3"/>
  <c r="L488" i="3"/>
  <c r="L489" i="3"/>
  <c r="L490" i="3"/>
  <c r="L491" i="3"/>
  <c r="L510" i="3"/>
  <c r="L511" i="3"/>
  <c r="L514" i="3"/>
  <c r="L515" i="3"/>
  <c r="L516" i="3"/>
  <c r="L517" i="3"/>
  <c r="L518" i="3"/>
  <c r="L519" i="3"/>
  <c r="L520" i="3"/>
  <c r="L521" i="3"/>
  <c r="L522" i="3"/>
  <c r="L523" i="3"/>
  <c r="L524" i="3"/>
  <c r="L527" i="3"/>
  <c r="L528" i="3"/>
  <c r="L529" i="3"/>
  <c r="L531" i="3"/>
  <c r="L532" i="3"/>
  <c r="L533" i="3"/>
  <c r="L534" i="3"/>
  <c r="L535" i="3"/>
  <c r="L536" i="3"/>
  <c r="L542" i="3"/>
  <c r="L543" i="3"/>
  <c r="L549" i="3"/>
  <c r="L550" i="3"/>
  <c r="L556" i="3"/>
  <c r="L557" i="3"/>
  <c r="L558" i="3"/>
  <c r="L561" i="3"/>
  <c r="L564" i="3"/>
  <c r="L568" i="3"/>
  <c r="L569" i="3"/>
  <c r="L570" i="3"/>
  <c r="L571" i="3"/>
  <c r="L572" i="3"/>
  <c r="L573" i="3"/>
  <c r="L579" i="3"/>
  <c r="L584" i="3"/>
  <c r="L585" i="3"/>
  <c r="L586" i="3"/>
  <c r="L587" i="3"/>
  <c r="L589" i="3"/>
  <c r="L590" i="3"/>
  <c r="L591" i="3"/>
  <c r="L592" i="3"/>
  <c r="L593" i="3"/>
  <c r="L595" i="3"/>
  <c r="L597" i="3"/>
  <c r="L601" i="3"/>
  <c r="L602" i="3"/>
  <c r="L603" i="3"/>
  <c r="L604" i="3"/>
  <c r="L606" i="3"/>
  <c r="L607" i="3"/>
  <c r="L611" i="3"/>
  <c r="L612" i="3"/>
  <c r="L615" i="3"/>
  <c r="L409" i="3"/>
  <c r="L411" i="3"/>
  <c r="L413" i="3"/>
  <c r="L417" i="3"/>
  <c r="L419" i="3"/>
  <c r="L420" i="3"/>
  <c r="L388" i="3"/>
  <c r="L389" i="3"/>
  <c r="L390" i="3"/>
  <c r="L398" i="3"/>
  <c r="L399" i="3"/>
  <c r="L400" i="3"/>
  <c r="L351" i="3"/>
  <c r="L352" i="3"/>
  <c r="L353" i="3"/>
  <c r="L354" i="3"/>
  <c r="L356" i="3"/>
  <c r="L359" i="3"/>
  <c r="L363" i="3"/>
  <c r="L365" i="3"/>
  <c r="L366" i="3"/>
  <c r="L367" i="3"/>
  <c r="L370" i="3"/>
  <c r="L374" i="3"/>
  <c r="L375" i="3"/>
  <c r="L378" i="3"/>
  <c r="L381" i="3"/>
  <c r="L382" i="3"/>
  <c r="L383" i="3"/>
  <c r="L384" i="3"/>
  <c r="L318" i="3"/>
  <c r="L326" i="3"/>
  <c r="L327" i="3"/>
  <c r="L330" i="3"/>
  <c r="L332" i="3"/>
  <c r="L333" i="3"/>
  <c r="L334" i="3"/>
  <c r="L335" i="3"/>
  <c r="L346" i="3"/>
  <c r="L295" i="3"/>
  <c r="L296" i="3"/>
  <c r="L300" i="3"/>
  <c r="L316" i="3"/>
  <c r="L317" i="3"/>
  <c r="L261" i="3"/>
  <c r="L262" i="3"/>
  <c r="L264" i="3"/>
  <c r="L265" i="3"/>
  <c r="L266" i="3"/>
  <c r="L270" i="3"/>
  <c r="L271" i="3"/>
  <c r="L272" i="3"/>
  <c r="L273" i="3"/>
  <c r="L274" i="3"/>
  <c r="L275" i="3"/>
  <c r="L277" i="3"/>
  <c r="L280" i="3"/>
  <c r="L281" i="3"/>
  <c r="L282" i="3"/>
  <c r="L284" i="3"/>
  <c r="L285" i="3"/>
  <c r="L287" i="3"/>
  <c r="L289" i="3"/>
  <c r="L221" i="3"/>
  <c r="L222" i="3"/>
  <c r="L223" i="3"/>
  <c r="L225" i="3"/>
  <c r="L226" i="3"/>
  <c r="L228" i="3"/>
  <c r="L229" i="3"/>
  <c r="L232" i="3"/>
  <c r="L233" i="3"/>
  <c r="L234" i="3"/>
  <c r="L235" i="3"/>
  <c r="L238" i="3"/>
  <c r="L241" i="3"/>
  <c r="L242" i="3"/>
  <c r="L243" i="3"/>
  <c r="L244" i="3"/>
  <c r="L245" i="3"/>
  <c r="L246" i="3"/>
  <c r="L248" i="3"/>
  <c r="L258" i="3"/>
  <c r="L259" i="3"/>
  <c r="L220" i="3"/>
  <c r="L217" i="3"/>
  <c r="S217" i="3"/>
  <c r="D218" i="3"/>
  <c r="S218" i="3"/>
  <c r="D219" i="3"/>
  <c r="S219" i="3"/>
  <c r="S220" i="3"/>
  <c r="D221" i="3"/>
  <c r="G472" i="3"/>
  <c r="G529" i="3"/>
  <c r="G546" i="3"/>
  <c r="G572" i="3"/>
  <c r="G574" i="3"/>
  <c r="G582" i="3"/>
  <c r="G594" i="3"/>
  <c r="G595" i="3"/>
  <c r="G419" i="3"/>
  <c r="G398" i="3"/>
  <c r="G399" i="3"/>
  <c r="G261" i="3"/>
  <c r="G267" i="3"/>
  <c r="G268" i="3"/>
  <c r="G269" i="3"/>
  <c r="G287" i="3"/>
  <c r="G290" i="3"/>
  <c r="G291" i="3"/>
  <c r="G292" i="3"/>
  <c r="G293" i="3"/>
  <c r="G294" i="3"/>
  <c r="G221" i="3"/>
  <c r="S221" i="3"/>
  <c r="S222" i="3"/>
  <c r="S223" i="3"/>
  <c r="S224" i="3"/>
  <c r="S225" i="3"/>
  <c r="G556" i="3"/>
  <c r="G557" i="3"/>
  <c r="G558" i="3"/>
  <c r="G559" i="3"/>
  <c r="G563" i="3"/>
  <c r="G564" i="3"/>
  <c r="G565" i="3"/>
  <c r="G566" i="3"/>
  <c r="G567" i="3"/>
  <c r="G568" i="3"/>
  <c r="G570" i="3"/>
  <c r="G571" i="3"/>
  <c r="G573" i="3"/>
  <c r="G410" i="3"/>
  <c r="G411" i="3"/>
  <c r="G412" i="3"/>
  <c r="G413" i="3"/>
  <c r="G414" i="3"/>
  <c r="G415" i="3"/>
  <c r="G416" i="3"/>
  <c r="G371" i="3"/>
  <c r="G226" i="3"/>
  <c r="S226" i="3"/>
  <c r="G227" i="3"/>
  <c r="L227" i="3"/>
  <c r="S227" i="3"/>
  <c r="G228" i="3"/>
  <c r="S228" i="3"/>
  <c r="G229" i="3"/>
  <c r="S229" i="3"/>
  <c r="G230" i="3"/>
  <c r="S230" i="3"/>
  <c r="G231" i="3"/>
  <c r="S231" i="3"/>
  <c r="S232" i="3"/>
  <c r="S233" i="3"/>
  <c r="S234" i="3"/>
  <c r="S235" i="3"/>
  <c r="L360" i="3"/>
  <c r="L373" i="3"/>
  <c r="L376" i="3"/>
  <c r="L377" i="3"/>
  <c r="L336" i="3"/>
  <c r="L301" i="3"/>
  <c r="L288" i="3"/>
  <c r="L290" i="3"/>
  <c r="L236" i="3"/>
  <c r="S236" i="3"/>
  <c r="S237" i="3"/>
  <c r="S238" i="3"/>
  <c r="S239" i="3"/>
  <c r="G240" i="3"/>
  <c r="S240" i="3"/>
  <c r="G241" i="3"/>
  <c r="S241" i="3"/>
  <c r="G242" i="3"/>
  <c r="S242" i="3"/>
  <c r="G243" i="3"/>
  <c r="S243" i="3"/>
  <c r="G444" i="3"/>
  <c r="G445" i="3"/>
  <c r="G447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74" i="3"/>
  <c r="G475" i="3"/>
  <c r="G476" i="3"/>
  <c r="G477" i="3"/>
  <c r="G478" i="3"/>
  <c r="G480" i="3"/>
  <c r="G481" i="3"/>
  <c r="G482" i="3"/>
  <c r="G483" i="3"/>
  <c r="G484" i="3"/>
  <c r="G485" i="3"/>
  <c r="G486" i="3"/>
  <c r="G487" i="3"/>
  <c r="G489" i="3"/>
  <c r="G490" i="3"/>
  <c r="G491" i="3"/>
  <c r="G492" i="3"/>
  <c r="G493" i="3"/>
  <c r="G494" i="3"/>
  <c r="G495" i="3"/>
  <c r="G496" i="3"/>
  <c r="G506" i="3"/>
  <c r="G509" i="3"/>
  <c r="G510" i="3"/>
  <c r="G511" i="3"/>
  <c r="G512" i="3"/>
  <c r="G513" i="3"/>
  <c r="G514" i="3"/>
  <c r="G515" i="3"/>
  <c r="G527" i="3"/>
  <c r="G531" i="3"/>
  <c r="G532" i="3"/>
  <c r="G533" i="3"/>
  <c r="G535" i="3"/>
  <c r="G536" i="3"/>
  <c r="G537" i="3"/>
  <c r="G593" i="3"/>
  <c r="G597" i="3"/>
  <c r="G598" i="3"/>
  <c r="G599" i="3"/>
  <c r="G600" i="3"/>
  <c r="G611" i="3"/>
  <c r="G612" i="3"/>
  <c r="G614" i="3"/>
  <c r="G615" i="3"/>
  <c r="G616" i="3"/>
  <c r="G617" i="3"/>
  <c r="G618" i="3"/>
  <c r="G388" i="3"/>
  <c r="G389" i="3"/>
  <c r="G390" i="3"/>
  <c r="G391" i="3"/>
  <c r="G392" i="3"/>
  <c r="G393" i="3"/>
  <c r="G394" i="3"/>
  <c r="G395" i="3"/>
  <c r="G396" i="3"/>
  <c r="G381" i="3"/>
  <c r="G341" i="3"/>
  <c r="G301" i="3"/>
  <c r="G273" i="3"/>
  <c r="G244" i="3"/>
  <c r="S244" i="3"/>
  <c r="G245" i="3"/>
  <c r="S245" i="3"/>
  <c r="G246" i="3"/>
  <c r="S246" i="3"/>
  <c r="G247" i="3"/>
  <c r="S247" i="3"/>
  <c r="G248" i="3"/>
  <c r="S248" i="3"/>
  <c r="G249" i="3"/>
  <c r="S249" i="3"/>
  <c r="G250" i="3"/>
  <c r="S250" i="3"/>
  <c r="G251" i="3"/>
  <c r="S251" i="3"/>
  <c r="G547" i="3"/>
  <c r="G561" i="3"/>
  <c r="G607" i="3"/>
  <c r="G358" i="3"/>
  <c r="G359" i="3"/>
  <c r="G360" i="3"/>
  <c r="G361" i="3"/>
  <c r="G372" i="3"/>
  <c r="G373" i="3"/>
  <c r="G325" i="3"/>
  <c r="G316" i="3"/>
  <c r="G317" i="3"/>
  <c r="G275" i="3"/>
  <c r="G276" i="3"/>
  <c r="G277" i="3"/>
  <c r="G278" i="3"/>
  <c r="G288" i="3"/>
  <c r="G252" i="3"/>
  <c r="L252" i="3"/>
  <c r="S252" i="3"/>
  <c r="L253" i="3"/>
  <c r="S253" i="3"/>
  <c r="G254" i="3"/>
  <c r="L254" i="3"/>
  <c r="S254" i="3"/>
  <c r="G255" i="3"/>
  <c r="L255" i="3"/>
  <c r="S255" i="3"/>
  <c r="G256" i="3"/>
  <c r="S256" i="3"/>
  <c r="L257" i="3"/>
  <c r="S257" i="3"/>
  <c r="G258" i="3"/>
  <c r="S258" i="3"/>
  <c r="G259" i="3"/>
  <c r="S259" i="3"/>
  <c r="G260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D273" i="3"/>
  <c r="S273" i="3"/>
  <c r="S274" i="3"/>
  <c r="S275" i="3"/>
  <c r="S276" i="3"/>
  <c r="S277" i="3"/>
  <c r="S278" i="3"/>
  <c r="G279" i="3"/>
  <c r="S279" i="3"/>
  <c r="S280" i="3"/>
  <c r="S281" i="3"/>
  <c r="G282" i="3"/>
  <c r="S282" i="3"/>
  <c r="S283" i="3"/>
  <c r="S284" i="3"/>
  <c r="G285" i="3"/>
  <c r="S285" i="3"/>
  <c r="G286" i="3"/>
  <c r="S286" i="3"/>
  <c r="S287" i="3"/>
  <c r="S288" i="3"/>
  <c r="S289" i="3"/>
  <c r="S290" i="3"/>
  <c r="S291" i="3"/>
  <c r="S292" i="3"/>
  <c r="F293" i="3"/>
  <c r="S293" i="3"/>
  <c r="F294" i="3"/>
  <c r="S294" i="3"/>
  <c r="G348" i="3"/>
  <c r="G295" i="3"/>
  <c r="S295" i="3"/>
  <c r="G296" i="3"/>
  <c r="S296" i="3"/>
  <c r="G297" i="3"/>
  <c r="S297" i="3"/>
  <c r="G464" i="3"/>
  <c r="G466" i="3"/>
  <c r="G337" i="3"/>
  <c r="G298" i="3"/>
  <c r="S298" i="3"/>
  <c r="G299" i="3"/>
  <c r="S299" i="3"/>
  <c r="G300" i="3"/>
  <c r="S300" i="3"/>
  <c r="S301" i="3"/>
  <c r="G302" i="3"/>
  <c r="S302" i="3"/>
  <c r="G303" i="3"/>
  <c r="S303" i="3"/>
  <c r="G304" i="3"/>
  <c r="S304" i="3"/>
  <c r="G305" i="3"/>
  <c r="S305" i="3"/>
  <c r="G306" i="3"/>
  <c r="S306" i="3"/>
  <c r="G307" i="3"/>
  <c r="S307" i="3"/>
  <c r="G308" i="3"/>
  <c r="S308" i="3"/>
  <c r="S309" i="3"/>
  <c r="S310" i="3"/>
  <c r="S311" i="3"/>
  <c r="S312" i="3"/>
  <c r="S313" i="3"/>
  <c r="S314" i="3"/>
  <c r="S315" i="3"/>
  <c r="S316" i="3"/>
  <c r="S317" i="3"/>
  <c r="G418" i="3"/>
  <c r="G318" i="3"/>
  <c r="S318" i="3"/>
  <c r="S319" i="3"/>
  <c r="S320" i="3"/>
  <c r="G321" i="3"/>
  <c r="S321" i="3"/>
  <c r="G322" i="3"/>
  <c r="S322" i="3"/>
  <c r="G323" i="3"/>
  <c r="S323" i="3"/>
  <c r="G606" i="3"/>
  <c r="G608" i="3"/>
  <c r="G362" i="3"/>
  <c r="G363" i="3"/>
  <c r="G364" i="3"/>
  <c r="G365" i="3"/>
  <c r="G366" i="3"/>
  <c r="G367" i="3"/>
  <c r="G368" i="3"/>
  <c r="G369" i="3"/>
  <c r="G324" i="3"/>
  <c r="S324" i="3"/>
  <c r="L325" i="3"/>
  <c r="S325" i="3"/>
  <c r="G326" i="3"/>
  <c r="S326" i="3"/>
  <c r="G327" i="3"/>
  <c r="S327" i="3"/>
  <c r="G328" i="3"/>
  <c r="S328" i="3"/>
  <c r="G400" i="3"/>
  <c r="G401" i="3"/>
  <c r="G402" i="3"/>
  <c r="G329" i="3"/>
  <c r="S329" i="3"/>
  <c r="S330" i="3"/>
  <c r="G331" i="3"/>
  <c r="S331" i="3"/>
  <c r="G448" i="3"/>
  <c r="G332" i="3"/>
  <c r="S332" i="3"/>
  <c r="G333" i="3"/>
  <c r="S333" i="3"/>
  <c r="G334" i="3"/>
  <c r="S334" i="3"/>
  <c r="G335" i="3"/>
  <c r="S335" i="3"/>
  <c r="G336" i="3"/>
  <c r="S336" i="3"/>
  <c r="S337" i="3"/>
  <c r="G338" i="3"/>
  <c r="S338" i="3"/>
  <c r="G339" i="3"/>
  <c r="S339" i="3"/>
  <c r="G340" i="3"/>
  <c r="S340" i="3"/>
  <c r="S341" i="3"/>
  <c r="G342" i="3"/>
  <c r="S342" i="3"/>
  <c r="S343" i="3"/>
  <c r="S344" i="3"/>
  <c r="S345" i="3"/>
  <c r="S346" i="3"/>
  <c r="S347" i="3"/>
  <c r="S348" i="3"/>
  <c r="D349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G370" i="3"/>
  <c r="S370" i="3"/>
  <c r="S371" i="3"/>
  <c r="S372" i="3"/>
  <c r="S373" i="3"/>
  <c r="S374" i="3"/>
  <c r="S375" i="3"/>
  <c r="S376" i="3"/>
  <c r="G377" i="3"/>
  <c r="S377" i="3"/>
  <c r="G378" i="3"/>
  <c r="S378" i="3"/>
  <c r="G379" i="3"/>
  <c r="S379" i="3"/>
  <c r="D380" i="3"/>
  <c r="G380" i="3"/>
  <c r="L380" i="3"/>
  <c r="S380" i="3"/>
  <c r="S381" i="3"/>
  <c r="S382" i="3"/>
  <c r="S383" i="3"/>
  <c r="S384" i="3"/>
  <c r="G420" i="3"/>
  <c r="G385" i="3"/>
  <c r="S385" i="3"/>
  <c r="S386" i="3"/>
  <c r="G387" i="3"/>
  <c r="S387" i="3"/>
  <c r="S388" i="3"/>
  <c r="S389" i="3"/>
  <c r="S390" i="3"/>
  <c r="S391" i="3"/>
  <c r="S392" i="3"/>
  <c r="S393" i="3"/>
  <c r="S394" i="3"/>
  <c r="S395" i="3"/>
  <c r="S396" i="3"/>
  <c r="D397" i="3"/>
  <c r="G397" i="3"/>
  <c r="S397" i="3"/>
  <c r="S398" i="3"/>
  <c r="S399" i="3"/>
  <c r="S400" i="3"/>
  <c r="S401" i="3"/>
  <c r="S402" i="3"/>
  <c r="G403" i="3"/>
  <c r="L403" i="3"/>
  <c r="S403" i="3"/>
  <c r="L508" i="3"/>
  <c r="L509" i="3"/>
  <c r="L512" i="3"/>
  <c r="L513" i="3"/>
  <c r="L530" i="3"/>
  <c r="L551" i="3"/>
  <c r="L552" i="3"/>
  <c r="L553" i="3"/>
  <c r="L594" i="3"/>
  <c r="L608" i="3"/>
  <c r="L613" i="3"/>
  <c r="L404" i="3"/>
  <c r="S404" i="3"/>
  <c r="L405" i="3"/>
  <c r="S405" i="3"/>
  <c r="S406" i="3"/>
  <c r="G407" i="3"/>
  <c r="S407" i="3"/>
  <c r="G586" i="3"/>
  <c r="G587" i="3"/>
  <c r="G588" i="3"/>
  <c r="G408" i="3"/>
  <c r="S408" i="3"/>
  <c r="S409" i="3"/>
  <c r="S410" i="3"/>
  <c r="S411" i="3"/>
  <c r="S412" i="3"/>
  <c r="S413" i="3"/>
  <c r="S414" i="3"/>
  <c r="S415" i="3"/>
  <c r="S416" i="3"/>
  <c r="G417" i="3"/>
  <c r="S417" i="3"/>
  <c r="S418" i="3"/>
  <c r="S419" i="3"/>
  <c r="S420" i="3"/>
  <c r="S421" i="3"/>
  <c r="S422" i="3"/>
  <c r="M423" i="3"/>
  <c r="S423" i="3"/>
  <c r="M424" i="3"/>
  <c r="S424" i="3"/>
  <c r="S425" i="3"/>
  <c r="S426" i="3"/>
  <c r="S427" i="3"/>
  <c r="G428" i="3"/>
  <c r="L428" i="3"/>
  <c r="S428" i="3"/>
  <c r="G429" i="3"/>
  <c r="L429" i="3"/>
  <c r="S429" i="3"/>
  <c r="G430" i="3"/>
  <c r="L430" i="3"/>
  <c r="S430" i="3"/>
  <c r="S431" i="3"/>
  <c r="G432" i="3"/>
  <c r="S432" i="3"/>
  <c r="G433" i="3"/>
  <c r="L433" i="3"/>
  <c r="S433" i="3"/>
  <c r="G434" i="3"/>
  <c r="L434" i="3"/>
  <c r="S434" i="3"/>
  <c r="G435" i="3"/>
  <c r="L435" i="3"/>
  <c r="S435" i="3"/>
  <c r="S436" i="3"/>
  <c r="S437" i="3"/>
  <c r="S438" i="3"/>
  <c r="S439" i="3"/>
  <c r="G440" i="3"/>
  <c r="S440" i="3"/>
  <c r="S441" i="3"/>
  <c r="S442" i="3"/>
  <c r="S443" i="3"/>
  <c r="L444" i="3"/>
  <c r="S444" i="3"/>
  <c r="L445" i="3"/>
  <c r="S445" i="3"/>
  <c r="S446" i="3"/>
  <c r="S447" i="3"/>
  <c r="S448" i="3"/>
  <c r="G449" i="3"/>
  <c r="S449" i="3"/>
  <c r="L450" i="3"/>
  <c r="S450" i="3"/>
  <c r="L451" i="3"/>
  <c r="S451" i="3"/>
  <c r="S452" i="3"/>
  <c r="L453" i="3"/>
  <c r="S453" i="3"/>
  <c r="L454" i="3"/>
  <c r="S454" i="3"/>
  <c r="S455" i="3"/>
  <c r="S456" i="3"/>
  <c r="S457" i="3"/>
  <c r="S458" i="3"/>
  <c r="S459" i="3"/>
  <c r="S460" i="3"/>
  <c r="S461" i="3"/>
  <c r="S462" i="3"/>
  <c r="S463" i="3"/>
  <c r="S464" i="3"/>
  <c r="G465" i="3"/>
  <c r="S465" i="3"/>
  <c r="S466" i="3"/>
  <c r="L467" i="3"/>
  <c r="S467" i="3"/>
  <c r="S468" i="3"/>
  <c r="G469" i="3"/>
  <c r="S469" i="3"/>
  <c r="S470" i="3"/>
  <c r="S471" i="3"/>
  <c r="S472" i="3"/>
  <c r="G473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G498" i="3"/>
  <c r="S498" i="3"/>
  <c r="G499" i="3"/>
  <c r="S499" i="3"/>
  <c r="G500" i="3"/>
  <c r="L500" i="3"/>
  <c r="S500" i="3"/>
  <c r="L501" i="3"/>
  <c r="S501" i="3"/>
  <c r="L502" i="3"/>
  <c r="S502" i="3"/>
  <c r="L503" i="3"/>
  <c r="S503" i="3"/>
  <c r="S504" i="3"/>
  <c r="G505" i="3"/>
  <c r="S505" i="3"/>
  <c r="S506" i="3"/>
  <c r="S507" i="3"/>
  <c r="G508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G525" i="3"/>
  <c r="S525" i="3"/>
  <c r="G526" i="3"/>
  <c r="S526" i="3"/>
  <c r="S527" i="3"/>
  <c r="G528" i="3"/>
  <c r="M528" i="3"/>
  <c r="S528" i="3"/>
  <c r="S529" i="3"/>
  <c r="G530" i="3"/>
  <c r="S530" i="3"/>
  <c r="S531" i="3"/>
  <c r="S532" i="3"/>
  <c r="S533" i="3"/>
  <c r="S534" i="3"/>
  <c r="S535" i="3"/>
  <c r="S536" i="3"/>
  <c r="S537" i="3"/>
  <c r="S538" i="3"/>
  <c r="G539" i="3"/>
  <c r="S539" i="3"/>
  <c r="G540" i="3"/>
  <c r="S540" i="3"/>
  <c r="G541" i="3"/>
  <c r="S541" i="3"/>
  <c r="S542" i="3"/>
  <c r="S543" i="3"/>
  <c r="S544" i="3"/>
  <c r="G545" i="3"/>
  <c r="S545" i="3"/>
  <c r="S546" i="3"/>
  <c r="S547" i="3"/>
  <c r="S548" i="3"/>
  <c r="S549" i="3"/>
  <c r="S550" i="3"/>
  <c r="S551" i="3"/>
  <c r="G552" i="3"/>
  <c r="S552" i="3"/>
  <c r="G553" i="3"/>
  <c r="S553" i="3"/>
  <c r="G554" i="3"/>
  <c r="S554" i="3"/>
  <c r="S555" i="3"/>
  <c r="S556" i="3"/>
  <c r="S557" i="3"/>
  <c r="S558" i="3"/>
  <c r="S559" i="3"/>
  <c r="G560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G583" i="3"/>
  <c r="S583" i="3"/>
  <c r="S584" i="3"/>
  <c r="S585" i="3"/>
  <c r="S586" i="3"/>
  <c r="S587" i="3"/>
  <c r="S588" i="3"/>
  <c r="G589" i="3"/>
  <c r="S589" i="3"/>
  <c r="G590" i="3"/>
  <c r="S590" i="3"/>
  <c r="G591" i="3"/>
  <c r="S591" i="3"/>
  <c r="G592" i="3"/>
  <c r="S592" i="3"/>
  <c r="S593" i="3"/>
  <c r="S594" i="3"/>
  <c r="S595" i="3"/>
  <c r="G596" i="3"/>
  <c r="S596" i="3"/>
  <c r="S597" i="3"/>
  <c r="S598" i="3"/>
  <c r="S599" i="3"/>
  <c r="S600" i="3"/>
  <c r="S601" i="3"/>
  <c r="S602" i="3"/>
  <c r="S603" i="3"/>
  <c r="S604" i="3"/>
  <c r="C605" i="3"/>
  <c r="S605" i="3"/>
  <c r="S606" i="3"/>
  <c r="S607" i="3"/>
  <c r="S608" i="3"/>
  <c r="S609" i="3"/>
  <c r="G610" i="3"/>
  <c r="S610" i="3"/>
  <c r="S611" i="3"/>
  <c r="S612" i="3"/>
  <c r="S613" i="3"/>
  <c r="S614" i="3"/>
  <c r="S615" i="3"/>
  <c r="S616" i="3"/>
  <c r="S617" i="3"/>
  <c r="S618" i="3"/>
  <c r="G619" i="3"/>
  <c r="S619" i="3"/>
  <c r="G620" i="3"/>
  <c r="S620" i="3"/>
  <c r="G621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M672" i="3"/>
  <c r="S672" i="3"/>
  <c r="M673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M685" i="3"/>
  <c r="S685" i="3"/>
  <c r="D686" i="3"/>
  <c r="S686" i="3"/>
  <c r="J4" i="2"/>
  <c r="S4" i="2"/>
  <c r="K4" i="2"/>
  <c r="L4" i="2"/>
  <c r="J5" i="2"/>
  <c r="S5" i="2"/>
  <c r="K5" i="2"/>
  <c r="L5" i="2"/>
  <c r="D6" i="2"/>
  <c r="J6" i="2"/>
  <c r="S6" i="2"/>
  <c r="K6" i="2"/>
  <c r="L6" i="2"/>
  <c r="J7" i="2"/>
  <c r="S7" i="2"/>
  <c r="K7" i="2"/>
  <c r="L7" i="2"/>
  <c r="J8" i="2"/>
  <c r="S8" i="2"/>
  <c r="K8" i="2"/>
  <c r="L8" i="2"/>
  <c r="W8" i="2"/>
  <c r="J9" i="2"/>
  <c r="S9" i="2"/>
  <c r="K9" i="2"/>
  <c r="L9" i="2"/>
  <c r="D10" i="2"/>
  <c r="J10" i="2"/>
  <c r="S10" i="2"/>
  <c r="K10" i="2"/>
  <c r="L10" i="2"/>
  <c r="J11" i="2"/>
  <c r="S11" i="2"/>
  <c r="K11" i="2"/>
  <c r="L11" i="2"/>
  <c r="J12" i="2"/>
  <c r="S12" i="2"/>
  <c r="K12" i="2"/>
  <c r="L12" i="2"/>
  <c r="J13" i="2"/>
  <c r="S13" i="2"/>
  <c r="K13" i="2"/>
  <c r="L13" i="2"/>
  <c r="J14" i="2"/>
  <c r="S14" i="2"/>
  <c r="N14" i="2"/>
  <c r="K14" i="2"/>
  <c r="L14" i="2"/>
  <c r="J15" i="2"/>
  <c r="S15" i="2"/>
  <c r="N15" i="2"/>
  <c r="K15" i="2"/>
  <c r="L15" i="2"/>
  <c r="D16" i="2"/>
  <c r="J16" i="2"/>
  <c r="S16" i="2"/>
  <c r="K16" i="2"/>
  <c r="L16" i="2"/>
  <c r="D17" i="2"/>
  <c r="J17" i="2"/>
  <c r="S17" i="2"/>
  <c r="K17" i="2"/>
  <c r="L17" i="2"/>
  <c r="J18" i="2"/>
  <c r="S18" i="2"/>
  <c r="K18" i="2"/>
  <c r="L18" i="2"/>
  <c r="J19" i="2"/>
  <c r="J20" i="2"/>
  <c r="J21" i="2"/>
  <c r="S21" i="2"/>
  <c r="K21" i="2"/>
  <c r="L21" i="2"/>
  <c r="J22" i="2"/>
  <c r="S22" i="2"/>
  <c r="K22" i="2"/>
  <c r="L22" i="2"/>
  <c r="J23" i="2"/>
  <c r="S23" i="2"/>
  <c r="K23" i="2"/>
  <c r="L23" i="2"/>
  <c r="J24" i="2"/>
  <c r="S24" i="2"/>
  <c r="K24" i="2"/>
  <c r="L24" i="2"/>
  <c r="J25" i="2"/>
  <c r="S25" i="2"/>
  <c r="K25" i="2"/>
  <c r="L25" i="2"/>
  <c r="W25" i="2"/>
  <c r="J26" i="2"/>
  <c r="N26" i="2"/>
  <c r="J27" i="2"/>
  <c r="N27" i="2"/>
  <c r="J28" i="2"/>
  <c r="N28" i="2"/>
  <c r="J29" i="2"/>
  <c r="S29" i="2"/>
  <c r="K29" i="2"/>
  <c r="L29" i="2"/>
  <c r="J30" i="2"/>
  <c r="S30" i="2"/>
  <c r="K30" i="2"/>
  <c r="L30" i="2"/>
  <c r="J31" i="2"/>
  <c r="S31" i="2"/>
  <c r="K31" i="2"/>
  <c r="L31" i="2"/>
  <c r="W31" i="2"/>
  <c r="D32" i="2"/>
  <c r="J32" i="2"/>
  <c r="S32" i="2"/>
  <c r="K32" i="2"/>
  <c r="L32" i="2"/>
  <c r="D33" i="2"/>
  <c r="J33" i="2"/>
  <c r="S33" i="2"/>
  <c r="K33" i="2"/>
  <c r="L33" i="2"/>
  <c r="J34" i="2"/>
  <c r="S34" i="2"/>
  <c r="K34" i="2"/>
  <c r="L34" i="2"/>
  <c r="J35" i="2"/>
  <c r="S35" i="2"/>
  <c r="K35" i="2"/>
  <c r="L35" i="2"/>
  <c r="W35" i="2"/>
  <c r="J36" i="2"/>
  <c r="S36" i="2"/>
  <c r="N36" i="2"/>
  <c r="K36" i="2"/>
  <c r="L36" i="2"/>
  <c r="J37" i="2"/>
  <c r="S37" i="2"/>
  <c r="K37" i="2"/>
  <c r="L37" i="2"/>
  <c r="J38" i="2"/>
  <c r="S38" i="2"/>
  <c r="K38" i="2"/>
  <c r="L38" i="2"/>
  <c r="W38" i="2"/>
  <c r="D39" i="2"/>
  <c r="J39" i="2"/>
  <c r="S39" i="2"/>
  <c r="K39" i="2"/>
  <c r="L39" i="2"/>
  <c r="J40" i="2"/>
  <c r="S40" i="2"/>
  <c r="N40" i="2"/>
  <c r="K40" i="2"/>
  <c r="L40" i="2"/>
  <c r="J41" i="2"/>
  <c r="S41" i="2"/>
  <c r="N41" i="2"/>
  <c r="K41" i="2"/>
  <c r="L41" i="2"/>
  <c r="D42" i="2"/>
  <c r="J42" i="2"/>
  <c r="S42" i="2"/>
  <c r="K42" i="2"/>
  <c r="L42" i="2"/>
  <c r="J43" i="2"/>
  <c r="S43" i="2"/>
  <c r="K43" i="2"/>
  <c r="L43" i="2"/>
  <c r="J44" i="2"/>
  <c r="S44" i="2"/>
  <c r="K44" i="2"/>
  <c r="L44" i="2"/>
  <c r="J45" i="2"/>
  <c r="S45" i="2"/>
  <c r="N45" i="2"/>
  <c r="K45" i="2"/>
  <c r="L45" i="2"/>
  <c r="J46" i="2"/>
  <c r="S46" i="2"/>
  <c r="K46" i="2"/>
  <c r="L46" i="2"/>
  <c r="W46" i="2"/>
  <c r="D47" i="2"/>
  <c r="J47" i="2"/>
  <c r="S47" i="2"/>
  <c r="K47" i="2"/>
  <c r="L47" i="2"/>
  <c r="J48" i="2"/>
  <c r="N48" i="2"/>
  <c r="S49" i="2"/>
  <c r="N49" i="2"/>
  <c r="K49" i="2"/>
  <c r="L49" i="2"/>
  <c r="J50" i="2"/>
  <c r="S50" i="2"/>
  <c r="K50" i="2"/>
  <c r="L50" i="2"/>
  <c r="J51" i="2"/>
  <c r="N51" i="2"/>
  <c r="J52" i="2"/>
  <c r="S52" i="2"/>
  <c r="K52" i="2"/>
  <c r="L52" i="2"/>
  <c r="W52" i="2"/>
  <c r="D53" i="2"/>
  <c r="J53" i="2"/>
  <c r="S53" i="2"/>
  <c r="N53" i="2"/>
  <c r="K53" i="2"/>
  <c r="L53" i="2"/>
  <c r="D54" i="2"/>
  <c r="J54" i="2"/>
  <c r="S54" i="2"/>
  <c r="K54" i="2"/>
  <c r="L54" i="2"/>
  <c r="D55" i="2"/>
  <c r="J55" i="2"/>
  <c r="S55" i="2"/>
  <c r="K55" i="2"/>
  <c r="L55" i="2"/>
  <c r="J56" i="2"/>
  <c r="S56" i="2"/>
  <c r="K56" i="2"/>
  <c r="L56" i="2"/>
  <c r="W56" i="2"/>
  <c r="J57" i="2"/>
  <c r="S57" i="2"/>
  <c r="K57" i="2"/>
  <c r="L57" i="2"/>
  <c r="J58" i="2"/>
  <c r="S58" i="2"/>
  <c r="K58" i="2"/>
  <c r="L58" i="2"/>
  <c r="J59" i="2"/>
  <c r="S59" i="2"/>
  <c r="N59" i="2"/>
  <c r="K59" i="2"/>
  <c r="L59" i="2"/>
  <c r="D60" i="2"/>
  <c r="J60" i="2"/>
  <c r="S60" i="2"/>
  <c r="K60" i="2"/>
  <c r="L60" i="2"/>
  <c r="J61" i="2"/>
  <c r="S61" i="2"/>
  <c r="K61" i="2"/>
  <c r="L61" i="2"/>
  <c r="D62" i="2"/>
  <c r="J62" i="2"/>
  <c r="S62" i="2"/>
  <c r="K62" i="2"/>
  <c r="L62" i="2"/>
  <c r="J63" i="2"/>
  <c r="S63" i="2"/>
  <c r="K63" i="2"/>
  <c r="L63" i="2"/>
  <c r="W63" i="2"/>
  <c r="J64" i="2"/>
  <c r="S64" i="2"/>
  <c r="K64" i="2"/>
  <c r="L64" i="2"/>
  <c r="W64" i="2"/>
  <c r="J65" i="2"/>
  <c r="S65" i="2"/>
  <c r="K65" i="2"/>
  <c r="L65" i="2"/>
  <c r="J66" i="2"/>
  <c r="S66" i="2"/>
  <c r="K66" i="2"/>
  <c r="L66" i="2"/>
  <c r="J67" i="2"/>
  <c r="S67" i="2"/>
  <c r="N67" i="2"/>
  <c r="K67" i="2"/>
  <c r="L67" i="2"/>
  <c r="J68" i="2"/>
  <c r="S68" i="2"/>
  <c r="N68" i="2"/>
  <c r="K68" i="2"/>
  <c r="L68" i="2"/>
  <c r="J69" i="2"/>
  <c r="S69" i="2"/>
  <c r="K69" i="2"/>
  <c r="L69" i="2"/>
  <c r="J70" i="2"/>
  <c r="S70" i="2"/>
  <c r="K70" i="2"/>
  <c r="L70" i="2"/>
  <c r="J71" i="2"/>
  <c r="S71" i="2"/>
  <c r="K71" i="2"/>
  <c r="L71" i="2"/>
  <c r="J72" i="2"/>
  <c r="S72" i="2"/>
  <c r="K72" i="2"/>
  <c r="L72" i="2"/>
  <c r="J73" i="2"/>
  <c r="S73" i="2"/>
  <c r="K73" i="2"/>
  <c r="L73" i="2"/>
  <c r="W73" i="2"/>
  <c r="J74" i="2"/>
  <c r="N74" i="2"/>
  <c r="J75" i="2"/>
  <c r="S75" i="2"/>
  <c r="K75" i="2"/>
  <c r="L75" i="2"/>
  <c r="D76" i="2"/>
  <c r="J76" i="2"/>
  <c r="S76" i="2"/>
  <c r="N76" i="2"/>
  <c r="K76" i="2"/>
  <c r="L76" i="2"/>
  <c r="J77" i="2"/>
  <c r="S77" i="2"/>
  <c r="K77" i="2"/>
  <c r="L77" i="2"/>
  <c r="W77" i="2"/>
  <c r="J78" i="2"/>
  <c r="S78" i="2"/>
  <c r="K78" i="2"/>
  <c r="L78" i="2"/>
  <c r="J79" i="2"/>
  <c r="S79" i="2"/>
  <c r="K79" i="2"/>
  <c r="L79" i="2"/>
  <c r="J80" i="2"/>
  <c r="S80" i="2"/>
  <c r="N80" i="2"/>
  <c r="K80" i="2"/>
  <c r="L80" i="2"/>
  <c r="J81" i="2"/>
  <c r="S81" i="2"/>
  <c r="K81" i="2"/>
  <c r="L81" i="2"/>
  <c r="J82" i="2"/>
  <c r="J83" i="2"/>
  <c r="S83" i="2"/>
  <c r="K83" i="2"/>
  <c r="L83" i="2"/>
  <c r="W83" i="2"/>
  <c r="J84" i="2"/>
  <c r="S84" i="2"/>
  <c r="K84" i="2"/>
  <c r="L84" i="2"/>
  <c r="W84" i="2"/>
  <c r="J85" i="2"/>
  <c r="S85" i="2"/>
  <c r="K85" i="2"/>
  <c r="L85" i="2"/>
  <c r="W85" i="2"/>
  <c r="J86" i="2"/>
  <c r="N86" i="2"/>
  <c r="J87" i="2"/>
  <c r="S87" i="2"/>
  <c r="N87" i="2"/>
  <c r="K87" i="2"/>
  <c r="L87" i="2"/>
  <c r="J88" i="2"/>
  <c r="S88" i="2"/>
  <c r="K88" i="2"/>
  <c r="L88" i="2"/>
  <c r="J89" i="2"/>
  <c r="S89" i="2"/>
  <c r="K89" i="2"/>
  <c r="L89" i="2"/>
  <c r="W89" i="2"/>
  <c r="D90" i="2"/>
  <c r="J90" i="2"/>
  <c r="S90" i="2"/>
  <c r="K90" i="2"/>
  <c r="L90" i="2"/>
  <c r="I91" i="2"/>
  <c r="J91" i="2"/>
  <c r="S91" i="2"/>
  <c r="K91" i="2"/>
  <c r="L91" i="2"/>
  <c r="W91" i="2"/>
  <c r="D92" i="2"/>
  <c r="J92" i="2"/>
  <c r="S92" i="2"/>
  <c r="K92" i="2"/>
  <c r="L92" i="2"/>
  <c r="J93" i="2"/>
  <c r="S93" i="2"/>
  <c r="K93" i="2"/>
  <c r="L93" i="2"/>
  <c r="J94" i="2"/>
  <c r="S94" i="2"/>
  <c r="N94" i="2"/>
  <c r="K94" i="2"/>
  <c r="L94" i="2"/>
  <c r="J95" i="2"/>
  <c r="S95" i="2"/>
  <c r="K95" i="2"/>
  <c r="L95" i="2"/>
  <c r="W95" i="2"/>
  <c r="D96" i="2"/>
  <c r="J96" i="2"/>
  <c r="S96" i="2"/>
  <c r="N96" i="2"/>
  <c r="K96" i="2"/>
  <c r="L96" i="2"/>
  <c r="D97" i="2"/>
  <c r="J97" i="2"/>
  <c r="S97" i="2"/>
  <c r="K97" i="2"/>
  <c r="L97" i="2"/>
  <c r="J98" i="2"/>
  <c r="S98" i="2"/>
  <c r="K98" i="2"/>
  <c r="L98" i="2"/>
  <c r="D99" i="2"/>
  <c r="J99" i="2"/>
  <c r="S99" i="2"/>
  <c r="K99" i="2"/>
  <c r="L99" i="2"/>
  <c r="S100" i="2"/>
  <c r="J101" i="2"/>
  <c r="N101" i="2"/>
  <c r="J102" i="2"/>
  <c r="S102" i="2"/>
  <c r="K102" i="2"/>
  <c r="L102" i="2"/>
  <c r="W102" i="2"/>
  <c r="N103" i="2"/>
  <c r="S103" i="2"/>
  <c r="J104" i="2"/>
  <c r="S104" i="2"/>
  <c r="K104" i="2"/>
  <c r="L104" i="2"/>
  <c r="W104" i="2"/>
  <c r="J105" i="2"/>
  <c r="S105" i="2"/>
  <c r="K105" i="2"/>
  <c r="L105" i="2"/>
  <c r="J106" i="2"/>
  <c r="S106" i="2"/>
  <c r="K106" i="2"/>
  <c r="L106" i="2"/>
  <c r="D107" i="2"/>
  <c r="S107" i="2"/>
  <c r="J108" i="2"/>
  <c r="S108" i="2"/>
  <c r="N108" i="2"/>
  <c r="K108" i="2"/>
  <c r="L108" i="2"/>
  <c r="J109" i="2"/>
  <c r="S109" i="2"/>
  <c r="K109" i="2"/>
  <c r="L109" i="2"/>
  <c r="J110" i="2"/>
  <c r="S110" i="2"/>
  <c r="K110" i="2"/>
  <c r="L110" i="2"/>
  <c r="J111" i="2"/>
  <c r="S111" i="2"/>
  <c r="K111" i="2"/>
  <c r="L111" i="2"/>
  <c r="W111" i="2"/>
  <c r="J112" i="2"/>
  <c r="S112" i="2"/>
  <c r="N112" i="2"/>
  <c r="K112" i="2"/>
  <c r="L112" i="2"/>
  <c r="J113" i="2"/>
  <c r="S113" i="2"/>
  <c r="K113" i="2"/>
  <c r="L113" i="2"/>
  <c r="J114" i="2"/>
  <c r="S114" i="2"/>
  <c r="K114" i="2"/>
  <c r="L114" i="2"/>
  <c r="J115" i="2"/>
  <c r="S115" i="2"/>
  <c r="K115" i="2"/>
  <c r="L115" i="2"/>
  <c r="W115" i="2"/>
  <c r="J116" i="2"/>
  <c r="S116" i="2"/>
  <c r="K116" i="2"/>
  <c r="L116" i="2"/>
  <c r="J117" i="2"/>
  <c r="S117" i="2"/>
  <c r="K117" i="2"/>
  <c r="L117" i="2"/>
  <c r="J118" i="2"/>
  <c r="S118" i="2"/>
  <c r="N118" i="2"/>
  <c r="K118" i="2"/>
  <c r="L118" i="2"/>
  <c r="J119" i="2"/>
  <c r="S119" i="2"/>
  <c r="K119" i="2"/>
  <c r="L119" i="2"/>
  <c r="J120" i="2"/>
  <c r="S120" i="2"/>
  <c r="K120" i="2"/>
  <c r="L120" i="2"/>
  <c r="D121" i="2"/>
  <c r="J121" i="2"/>
  <c r="S121" i="2"/>
  <c r="K121" i="2"/>
  <c r="L121" i="2"/>
  <c r="J122" i="2"/>
  <c r="S122" i="2"/>
  <c r="N122" i="2"/>
  <c r="K122" i="2"/>
  <c r="L122" i="2"/>
  <c r="J123" i="2"/>
  <c r="S123" i="2"/>
  <c r="K123" i="2"/>
  <c r="L123" i="2"/>
  <c r="W123" i="2"/>
  <c r="J124" i="2"/>
  <c r="S124" i="2"/>
  <c r="K124" i="2"/>
  <c r="L124" i="2"/>
  <c r="W124" i="2"/>
  <c r="D125" i="2"/>
  <c r="J125" i="2"/>
  <c r="S125" i="2"/>
  <c r="K125" i="2"/>
  <c r="L125" i="2"/>
  <c r="D126" i="2"/>
  <c r="J126" i="2"/>
  <c r="S126" i="2"/>
  <c r="K126" i="2"/>
  <c r="L126" i="2"/>
  <c r="J127" i="2"/>
  <c r="S127" i="2"/>
  <c r="K127" i="2"/>
  <c r="L127" i="2"/>
  <c r="J128" i="2"/>
  <c r="S128" i="2"/>
  <c r="K128" i="2"/>
  <c r="L128" i="2"/>
  <c r="J129" i="2"/>
  <c r="S129" i="2"/>
  <c r="K129" i="2"/>
  <c r="L129" i="2"/>
  <c r="J130" i="2"/>
  <c r="S130" i="2"/>
  <c r="K130" i="2"/>
  <c r="L130" i="2"/>
  <c r="J131" i="2"/>
  <c r="S131" i="2"/>
  <c r="K131" i="2"/>
  <c r="L131" i="2"/>
  <c r="D132" i="2"/>
  <c r="J132" i="2"/>
  <c r="S132" i="2"/>
  <c r="K132" i="2"/>
  <c r="L132" i="2"/>
  <c r="W132" i="2"/>
  <c r="J133" i="2"/>
  <c r="S133" i="2"/>
  <c r="K133" i="2"/>
  <c r="L133" i="2"/>
  <c r="W133" i="2"/>
  <c r="D134" i="2"/>
  <c r="J134" i="2"/>
  <c r="S134" i="2"/>
  <c r="K134" i="2"/>
  <c r="L134" i="2"/>
  <c r="D135" i="2"/>
  <c r="J135" i="2"/>
  <c r="S135" i="2"/>
  <c r="K135" i="2"/>
  <c r="L135" i="2"/>
  <c r="J136" i="2"/>
  <c r="S136" i="2"/>
  <c r="K136" i="2"/>
  <c r="L136" i="2"/>
  <c r="J138" i="2"/>
  <c r="S138" i="2"/>
  <c r="K138" i="2"/>
  <c r="L138" i="2"/>
  <c r="J139" i="2"/>
  <c r="S139" i="2"/>
  <c r="K139" i="2"/>
  <c r="L139" i="2"/>
  <c r="J140" i="2"/>
  <c r="N140" i="2"/>
  <c r="D141" i="2"/>
  <c r="J141" i="2"/>
  <c r="S141" i="2"/>
  <c r="K141" i="2"/>
  <c r="L141" i="2"/>
  <c r="J142" i="2"/>
  <c r="S142" i="2"/>
  <c r="N142" i="2"/>
  <c r="K142" i="2"/>
  <c r="L142" i="2"/>
  <c r="J143" i="2"/>
  <c r="S143" i="2"/>
  <c r="N143" i="2"/>
  <c r="K143" i="2"/>
  <c r="L143" i="2"/>
  <c r="J144" i="2"/>
  <c r="S144" i="2"/>
  <c r="K144" i="2"/>
  <c r="L144" i="2"/>
  <c r="J145" i="2"/>
  <c r="S145" i="2"/>
  <c r="K145" i="2"/>
  <c r="L145" i="2"/>
  <c r="J146" i="2"/>
  <c r="S146" i="2"/>
  <c r="K146" i="2"/>
  <c r="L146" i="2"/>
  <c r="J147" i="2"/>
  <c r="S147" i="2"/>
  <c r="K147" i="2"/>
  <c r="L147" i="2"/>
  <c r="J148" i="2"/>
  <c r="S148" i="2"/>
  <c r="K148" i="2"/>
  <c r="L148" i="2"/>
  <c r="D149" i="2"/>
  <c r="J149" i="2"/>
  <c r="S149" i="2"/>
  <c r="K149" i="2"/>
  <c r="L149" i="2"/>
  <c r="J150" i="2"/>
  <c r="S150" i="2"/>
  <c r="K150" i="2"/>
  <c r="L150" i="2"/>
  <c r="D151" i="2"/>
  <c r="J151" i="2"/>
  <c r="N151" i="2"/>
  <c r="D152" i="2"/>
  <c r="J152" i="2"/>
  <c r="S152" i="2"/>
  <c r="K152" i="2"/>
  <c r="L152" i="2"/>
  <c r="J153" i="2"/>
  <c r="S153" i="2"/>
  <c r="K153" i="2"/>
  <c r="L153" i="2"/>
  <c r="W153" i="2"/>
  <c r="D154" i="2"/>
  <c r="J154" i="2"/>
  <c r="S154" i="2"/>
  <c r="K154" i="2"/>
  <c r="L154" i="2"/>
  <c r="D155" i="2"/>
  <c r="J155" i="2"/>
  <c r="S155" i="2"/>
  <c r="K155" i="2"/>
  <c r="L155" i="2"/>
  <c r="D156" i="2"/>
  <c r="J156" i="2"/>
  <c r="S156" i="2"/>
  <c r="Q156" i="2"/>
  <c r="K156" i="2"/>
  <c r="L156" i="2"/>
  <c r="W156" i="2"/>
  <c r="D157" i="2"/>
  <c r="M157" i="2"/>
  <c r="J157" i="2"/>
  <c r="S157" i="2"/>
  <c r="Q157" i="2"/>
  <c r="K157" i="2"/>
  <c r="L157" i="2"/>
  <c r="W157" i="2"/>
  <c r="D158" i="2"/>
  <c r="M158" i="2"/>
  <c r="J158" i="2"/>
  <c r="S158" i="2"/>
  <c r="Q158" i="2"/>
  <c r="K158" i="2"/>
  <c r="L158" i="2"/>
  <c r="M159" i="2"/>
  <c r="J159" i="2"/>
  <c r="S159" i="2"/>
  <c r="Q159" i="2"/>
  <c r="K159" i="2"/>
  <c r="L159" i="2"/>
  <c r="W159" i="2"/>
  <c r="M160" i="2"/>
  <c r="J160" i="2"/>
  <c r="S160" i="2"/>
  <c r="Q160" i="2"/>
  <c r="K160" i="2"/>
  <c r="L160" i="2"/>
  <c r="W160" i="2"/>
  <c r="M161" i="2"/>
  <c r="J161" i="2"/>
  <c r="S161" i="2"/>
  <c r="Q161" i="2"/>
  <c r="K161" i="2"/>
  <c r="L161" i="2"/>
  <c r="W161" i="2"/>
  <c r="J162" i="2"/>
  <c r="S162" i="2"/>
  <c r="K162" i="2"/>
  <c r="L162" i="2"/>
  <c r="J163" i="2"/>
  <c r="S163" i="2"/>
  <c r="K163" i="2"/>
  <c r="L163" i="2"/>
</calcChain>
</file>

<file path=xl/sharedStrings.xml><?xml version="1.0" encoding="utf-8"?>
<sst xmlns="http://schemas.openxmlformats.org/spreadsheetml/2006/main" count="5012" uniqueCount="1201">
  <si>
    <t>Ba2</t>
  </si>
  <si>
    <t>BB</t>
  </si>
  <si>
    <t>Ingen</t>
  </si>
  <si>
    <t>Kvartalsvis</t>
  </si>
  <si>
    <t>3mnd</t>
  </si>
  <si>
    <t>Floating rate note (FRN)</t>
  </si>
  <si>
    <t>Eiendom</t>
  </si>
  <si>
    <t>Selskap</t>
  </si>
  <si>
    <t>BWG Homes ASA</t>
  </si>
  <si>
    <t>NO 0010695042</t>
  </si>
  <si>
    <t>Ba1</t>
  </si>
  <si>
    <t>BB+</t>
  </si>
  <si>
    <t>Industrivarer og tjenester</t>
  </si>
  <si>
    <t>Aker ASA</t>
  </si>
  <si>
    <t>NO 0010601105</t>
  </si>
  <si>
    <t>A2</t>
  </si>
  <si>
    <t>Årlig</t>
  </si>
  <si>
    <t>Fixed rate bond</t>
  </si>
  <si>
    <t>Finans</t>
  </si>
  <si>
    <t>Finansiell institusjon</t>
  </si>
  <si>
    <t>Sparebank 1 Hedmark</t>
  </si>
  <si>
    <t>NO 0010695067</t>
  </si>
  <si>
    <t>Stabil</t>
  </si>
  <si>
    <t>Baa1</t>
  </si>
  <si>
    <t>BBB+</t>
  </si>
  <si>
    <t>Forsyning</t>
  </si>
  <si>
    <t>Hafslund ASA</t>
  </si>
  <si>
    <t>NO 0010700818</t>
  </si>
  <si>
    <t>Put</t>
  </si>
  <si>
    <t>Konsumvarer</t>
  </si>
  <si>
    <t>Orkla ASA</t>
  </si>
  <si>
    <t>NO 0010694680</t>
  </si>
  <si>
    <t>Aa2</t>
  </si>
  <si>
    <t>FRN med fortrinnsrett</t>
  </si>
  <si>
    <t>Sparebank 1 Næringskreditt AS</t>
  </si>
  <si>
    <t>NO 0010694615</t>
  </si>
  <si>
    <t>A3</t>
  </si>
  <si>
    <t>A-</t>
  </si>
  <si>
    <t>Dagligvarer</t>
  </si>
  <si>
    <t>Norgesgruppen ASA</t>
  </si>
  <si>
    <t>NO 0010695109</t>
  </si>
  <si>
    <t>Baa3</t>
  </si>
  <si>
    <t>BBB-</t>
  </si>
  <si>
    <t>Norwegian Property ASA</t>
  </si>
  <si>
    <t>NO 0010695026</t>
  </si>
  <si>
    <t>NO 0010695034</t>
  </si>
  <si>
    <t>Aaa</t>
  </si>
  <si>
    <t>Sør Boligkreditt AS</t>
  </si>
  <si>
    <t>NO 0010699341</t>
  </si>
  <si>
    <t>Sparebank 1 Nord-Norge</t>
  </si>
  <si>
    <t>NO 0010695018</t>
  </si>
  <si>
    <t>B1</t>
  </si>
  <si>
    <t>B+</t>
  </si>
  <si>
    <t>Energi</t>
  </si>
  <si>
    <t>Dolphin Group ASA</t>
  </si>
  <si>
    <t>NO 0010697220</t>
  </si>
  <si>
    <t>Call</t>
  </si>
  <si>
    <t>Perpetual bond</t>
  </si>
  <si>
    <t>Sparebank 1 SMN</t>
  </si>
  <si>
    <t>NO 0010692494</t>
  </si>
  <si>
    <t>Steen og Strøm AS</t>
  </si>
  <si>
    <t>NO 0010657182</t>
  </si>
  <si>
    <t>Prosafe SE</t>
  </si>
  <si>
    <t>NO 0010691892</t>
  </si>
  <si>
    <t>NO 0010692866</t>
  </si>
  <si>
    <t>B2</t>
  </si>
  <si>
    <t>B</t>
  </si>
  <si>
    <t>Det Norske Oljeselskap ASA</t>
  </si>
  <si>
    <t>NO 0010598782</t>
  </si>
  <si>
    <t>NO 0010686926</t>
  </si>
  <si>
    <t>Aa3</t>
  </si>
  <si>
    <t>NO 0010686595</t>
  </si>
  <si>
    <t>NO 0010691280</t>
  </si>
  <si>
    <t>Marine Harvest ASA</t>
  </si>
  <si>
    <t>NO 0010672827</t>
  </si>
  <si>
    <t>Solør Bioenergi Holding AS</t>
  </si>
  <si>
    <t>NO 0010662356</t>
  </si>
  <si>
    <t>AS Tallink Grupp</t>
  </si>
  <si>
    <t>NO 0010682255</t>
  </si>
  <si>
    <t>NO 0010682313</t>
  </si>
  <si>
    <t>Ba3</t>
  </si>
  <si>
    <t>Selvaag Bolig ASA</t>
  </si>
  <si>
    <t>NO 0010683725</t>
  </si>
  <si>
    <t>Informasjonsteknikk</t>
  </si>
  <si>
    <t>Atea ASA</t>
  </si>
  <si>
    <t>NO 0010683626</t>
  </si>
  <si>
    <t>Eika Boligkreditt AS</t>
  </si>
  <si>
    <t>NO 0010679640</t>
  </si>
  <si>
    <t>BB-</t>
  </si>
  <si>
    <t>Hexagon Composites ASA</t>
  </si>
  <si>
    <t>NO 0010683717</t>
  </si>
  <si>
    <t>Negativ</t>
  </si>
  <si>
    <t>Teekay Offshore Partners L.P.</t>
  </si>
  <si>
    <t>NO 0010670128</t>
  </si>
  <si>
    <t>NO 0010670110</t>
  </si>
  <si>
    <t>Nordea Bank Norge ASA</t>
  </si>
  <si>
    <t>NO 0010685738</t>
  </si>
  <si>
    <t>Positiv</t>
  </si>
  <si>
    <t>Call/Put</t>
  </si>
  <si>
    <t>Polarcus Limited</t>
  </si>
  <si>
    <t>NO 0010680150</t>
  </si>
  <si>
    <t>Veidekke ASA</t>
  </si>
  <si>
    <t>NO 0010680135</t>
  </si>
  <si>
    <t>NO 0010683634</t>
  </si>
  <si>
    <t>Energiselskapet Buskerud AS</t>
  </si>
  <si>
    <t>NO 0010684111</t>
  </si>
  <si>
    <t>NO 0010680317</t>
  </si>
  <si>
    <t>NO 0010680309</t>
  </si>
  <si>
    <t>Seadrill Limited</t>
  </si>
  <si>
    <t>NO 0010673148</t>
  </si>
  <si>
    <t>Electromagnetic GeoServices ASA</t>
  </si>
  <si>
    <t>NO 0010682537</t>
  </si>
  <si>
    <t>A1</t>
  </si>
  <si>
    <t>Avinor AS</t>
  </si>
  <si>
    <t>NO 0010675911</t>
  </si>
  <si>
    <t>NO 0010675903</t>
  </si>
  <si>
    <t>Aa1</t>
  </si>
  <si>
    <t>Sparebanken Øst Boligkreditt AS</t>
  </si>
  <si>
    <t>NO 0010682099</t>
  </si>
  <si>
    <t>Arion banki hf</t>
  </si>
  <si>
    <t>NO 0010672553</t>
  </si>
  <si>
    <t>Farstad Shipping ASA</t>
  </si>
  <si>
    <t>NO 0010679871</t>
  </si>
  <si>
    <t>Telekom</t>
  </si>
  <si>
    <t>Telio Holding ASA</t>
  </si>
  <si>
    <t>NO 0010674572</t>
  </si>
  <si>
    <t>Grieg Seafood ASA</t>
  </si>
  <si>
    <t>NO 0010668122</t>
  </si>
  <si>
    <t>AGR Petroleum Services Holdings AS</t>
  </si>
  <si>
    <t>NO 0010670730</t>
  </si>
  <si>
    <t>NO 0010679806</t>
  </si>
  <si>
    <t>Olav Thon Eiendomsselskap ASA</t>
  </si>
  <si>
    <t>NO 0010678667</t>
  </si>
  <si>
    <t>NO 0010678659</t>
  </si>
  <si>
    <t>NO 0010675176</t>
  </si>
  <si>
    <t>NO 0010675119</t>
  </si>
  <si>
    <t>NO 0010676166</t>
  </si>
  <si>
    <t>NO 0010670797</t>
  </si>
  <si>
    <t>Agder Energi AS</t>
  </si>
  <si>
    <t>NO 0010673759</t>
  </si>
  <si>
    <t>NO 0010675424</t>
  </si>
  <si>
    <t>BW Offshore Limited</t>
  </si>
  <si>
    <t>NO 0010673841</t>
  </si>
  <si>
    <t>Entra eiendom AS</t>
  </si>
  <si>
    <t>NO 0010673700</t>
  </si>
  <si>
    <t>Baa2</t>
  </si>
  <si>
    <t>BBB</t>
  </si>
  <si>
    <t>Kapitalvarer og -tjenester</t>
  </si>
  <si>
    <t>Schibsted ASA</t>
  </si>
  <si>
    <t>NO 0010667850</t>
  </si>
  <si>
    <t>NO 0010667843</t>
  </si>
  <si>
    <t>NO 0010673296</t>
  </si>
  <si>
    <t>BKK AS</t>
  </si>
  <si>
    <t>NO 0010674989</t>
  </si>
  <si>
    <t>Pareto Bank ASA</t>
  </si>
  <si>
    <t>NO 0010638281</t>
  </si>
  <si>
    <t>B3</t>
  </si>
  <si>
    <t>Norwegian Energy Corporation ASA</t>
  </si>
  <si>
    <t>NO 0010672314</t>
  </si>
  <si>
    <t>Songa Offshore SE</t>
  </si>
  <si>
    <t>NO 0010649403</t>
  </si>
  <si>
    <t>Sparebanken Møre</t>
  </si>
  <si>
    <t>NO 0010671928</t>
  </si>
  <si>
    <t>NO 0010669633</t>
  </si>
  <si>
    <t>Teekay Corporation</t>
  </si>
  <si>
    <t>NO 0010661150</t>
  </si>
  <si>
    <t>Lyse Energi AS</t>
  </si>
  <si>
    <t>NO 0010672090</t>
  </si>
  <si>
    <t>NO 0010672397</t>
  </si>
  <si>
    <t>DOF Subsea AS</t>
  </si>
  <si>
    <t>NO 0010670144</t>
  </si>
  <si>
    <t>Siem Offshore</t>
  </si>
  <si>
    <t>NO 0010670441</t>
  </si>
  <si>
    <t>NO 0010670995</t>
  </si>
  <si>
    <t>Ship Finance International Limited</t>
  </si>
  <si>
    <t>NO 0010661655</t>
  </si>
  <si>
    <t>NO 0010663651</t>
  </si>
  <si>
    <t>NO 0010657786</t>
  </si>
  <si>
    <t>NO 0010670268</t>
  </si>
  <si>
    <t>NO 0010614340</t>
  </si>
  <si>
    <t>Covered bond issue with fixed rate</t>
  </si>
  <si>
    <t>NO 0010670409</t>
  </si>
  <si>
    <t>NO 0010670839</t>
  </si>
  <si>
    <t>NO 0010670557</t>
  </si>
  <si>
    <t>Totens Sparebank</t>
  </si>
  <si>
    <t>NO 0010621972</t>
  </si>
  <si>
    <t>NO 0010657778</t>
  </si>
  <si>
    <t xml:space="preserve"> </t>
  </si>
  <si>
    <t>NO 0010669807</t>
  </si>
  <si>
    <t>NO 0010665334</t>
  </si>
  <si>
    <t>Vardar AS</t>
  </si>
  <si>
    <t>NO 0010665037</t>
  </si>
  <si>
    <t>NO 0010625908</t>
  </si>
  <si>
    <t>NO 0010636111</t>
  </si>
  <si>
    <t>Cermaq ASA</t>
  </si>
  <si>
    <t>NO 0010657711</t>
  </si>
  <si>
    <t>NO 0010665342</t>
  </si>
  <si>
    <t>NO 0010664915</t>
  </si>
  <si>
    <t>NO 0010664907</t>
  </si>
  <si>
    <t>Austevoll Seafood ASA</t>
  </si>
  <si>
    <t>NO 0010661465</t>
  </si>
  <si>
    <t>NO 0010665359</t>
  </si>
  <si>
    <t>NO 0010661911</t>
  </si>
  <si>
    <t>Sparebank 1 SR-Bank ASA</t>
  </si>
  <si>
    <t>NO 0010664568</t>
  </si>
  <si>
    <t>NO 0010663545</t>
  </si>
  <si>
    <t>NO 0010664659</t>
  </si>
  <si>
    <t>Kongsberg gruppen ASA</t>
  </si>
  <si>
    <t>NO 0010657331</t>
  </si>
  <si>
    <t>NO 0010657885</t>
  </si>
  <si>
    <t>Akershus Energi AS</t>
  </si>
  <si>
    <t>NO 0010661432</t>
  </si>
  <si>
    <t>Golar LNG</t>
  </si>
  <si>
    <t>NO 0010661358</t>
  </si>
  <si>
    <t>NO 0010662869</t>
  </si>
  <si>
    <t>Höeg LNG Holdings LTD</t>
  </si>
  <si>
    <t>NO 0010660954</t>
  </si>
  <si>
    <t>NO 0010662893</t>
  </si>
  <si>
    <t>Aker Solutions ASA</t>
  </si>
  <si>
    <t>NO 0010661051</t>
  </si>
  <si>
    <t>NO 0010647431</t>
  </si>
  <si>
    <t>NO 0010661762</t>
  </si>
  <si>
    <t>Ocean Yield AS</t>
  </si>
  <si>
    <t>NO 0010654379</t>
  </si>
  <si>
    <t>Tele 2 AB</t>
  </si>
  <si>
    <t>NO 0010637093</t>
  </si>
  <si>
    <t>NO 0010637085</t>
  </si>
  <si>
    <t>Eidsiva Energi AS</t>
  </si>
  <si>
    <t>NO 0010650419</t>
  </si>
  <si>
    <t>NO 0010659972</t>
  </si>
  <si>
    <t>DOF ASA</t>
  </si>
  <si>
    <t>NO 0010657802</t>
  </si>
  <si>
    <t>NO 0010628530</t>
  </si>
  <si>
    <t>NO 0010628522</t>
  </si>
  <si>
    <t>NO 0010638075</t>
  </si>
  <si>
    <t>****</t>
  </si>
  <si>
    <t>Inflation protected security (IPS)</t>
  </si>
  <si>
    <t>NO 0010667539</t>
  </si>
  <si>
    <t>NO 0010659675</t>
  </si>
  <si>
    <t>I.M.Skaugen SE</t>
  </si>
  <si>
    <t>NO 0010636632</t>
  </si>
  <si>
    <t>NO 0010657398</t>
  </si>
  <si>
    <t>Stolt-Nielsen Limited</t>
  </si>
  <si>
    <t>NO 0010657406</t>
  </si>
  <si>
    <t>NO 0010641673</t>
  </si>
  <si>
    <t>NO 0010649494</t>
  </si>
  <si>
    <t>NO 0010635329</t>
  </si>
  <si>
    <t>Materialer</t>
  </si>
  <si>
    <t>Norsk Hydro ASA</t>
  </si>
  <si>
    <t>NO 0010650203</t>
  </si>
  <si>
    <t>Norwegian Air Shuttle</t>
  </si>
  <si>
    <t>NO 0010642200</t>
  </si>
  <si>
    <t>NO 0010656523</t>
  </si>
  <si>
    <t>NO 0010641723</t>
  </si>
  <si>
    <t>NO 0010649056</t>
  </si>
  <si>
    <t>Odfjell SE</t>
  </si>
  <si>
    <t>NO 0010641715</t>
  </si>
  <si>
    <t>DFDS AS</t>
  </si>
  <si>
    <t>NO 0010643281</t>
  </si>
  <si>
    <t>SE 0004635316</t>
  </si>
  <si>
    <t>3mnd***</t>
  </si>
  <si>
    <t>SE 0004635258</t>
  </si>
  <si>
    <t>NO 0010641806</t>
  </si>
  <si>
    <t>Høland og Setskog Sparebank</t>
  </si>
  <si>
    <t>NO 0010641913</t>
  </si>
  <si>
    <t>Tildelt rating 11. feb 2014. Ingen rating på tidspunkt for utstedelse.</t>
  </si>
  <si>
    <t>(Baa2)</t>
  </si>
  <si>
    <t>Helgeland Sparebank</t>
  </si>
  <si>
    <t>NO 0010640873</t>
  </si>
  <si>
    <t>Sparebanken Vest</t>
  </si>
  <si>
    <t>NO 0010635915</t>
  </si>
  <si>
    <t>NO 0010641335</t>
  </si>
  <si>
    <t>Bonheur ASA</t>
  </si>
  <si>
    <t>NO 0010635824</t>
  </si>
  <si>
    <t>NO 0010635816</t>
  </si>
  <si>
    <t>NO 0010648819</t>
  </si>
  <si>
    <t>Hurtigruten ASA</t>
  </si>
  <si>
    <t>NO 0010638133</t>
  </si>
  <si>
    <t>3,75%**</t>
  </si>
  <si>
    <t>Sparebanken Sogn og Fjordane</t>
  </si>
  <si>
    <t>NO 0010592957</t>
  </si>
  <si>
    <t>NO 0010612153</t>
  </si>
  <si>
    <t>NO 0010635964</t>
  </si>
  <si>
    <t>NO 0010640774</t>
  </si>
  <si>
    <t>NO 0010640766</t>
  </si>
  <si>
    <t>NO 0010641624</t>
  </si>
  <si>
    <t>NO 0010637325</t>
  </si>
  <si>
    <t>NO 0010635865</t>
  </si>
  <si>
    <t>NO 0010637952</t>
  </si>
  <si>
    <t>NO 0010637135</t>
  </si>
  <si>
    <t>Halvårlig</t>
  </si>
  <si>
    <t>6mnd</t>
  </si>
  <si>
    <t>NO 0010628753</t>
  </si>
  <si>
    <t>NO 0010635212</t>
  </si>
  <si>
    <t>NO 0010637275</t>
  </si>
  <si>
    <t>NO 0010637176</t>
  </si>
  <si>
    <t>NO 0010635725</t>
  </si>
  <si>
    <t>NO 0010602253</t>
  </si>
  <si>
    <t>NO 0010614688</t>
  </si>
  <si>
    <t>Noter</t>
  </si>
  <si>
    <t>Utsikter</t>
  </si>
  <si>
    <t>Omgjort</t>
  </si>
  <si>
    <t>Andre</t>
  </si>
  <si>
    <t>DNB Credit</t>
  </si>
  <si>
    <t>Nordea Markets</t>
  </si>
  <si>
    <t>Swedbank</t>
  </si>
  <si>
    <t>Handelsbanken</t>
  </si>
  <si>
    <t>SEB</t>
  </si>
  <si>
    <t>S&amp;P</t>
  </si>
  <si>
    <t>Fitch</t>
  </si>
  <si>
    <t>Moody's</t>
  </si>
  <si>
    <t>Duration</t>
  </si>
  <si>
    <t>betalinger per år</t>
  </si>
  <si>
    <t>Payment periods</t>
  </si>
  <si>
    <t>Ext. Maturity</t>
  </si>
  <si>
    <t>År til maturitet</t>
  </si>
  <si>
    <t>Maturity date</t>
  </si>
  <si>
    <t>Face Value</t>
  </si>
  <si>
    <t>Margin(p.a.)</t>
  </si>
  <si>
    <t>NIBOR*</t>
  </si>
  <si>
    <t>Kupong(p.a.)</t>
  </si>
  <si>
    <t>Pris</t>
  </si>
  <si>
    <t>Effektiv rente</t>
  </si>
  <si>
    <t>Effektiv rente(kvartalsvis)</t>
  </si>
  <si>
    <t>Kostnad per obligasjon</t>
  </si>
  <si>
    <t>Kostnader</t>
  </si>
  <si>
    <t>Maximum Amount</t>
  </si>
  <si>
    <t>Type</t>
  </si>
  <si>
    <t>Sektor</t>
  </si>
  <si>
    <t>Type utsteder</t>
  </si>
  <si>
    <t>Omsetning året før</t>
  </si>
  <si>
    <t>Dato</t>
  </si>
  <si>
    <t>ISIN</t>
  </si>
  <si>
    <t>Kredittrating</t>
  </si>
  <si>
    <t>Oslo Børs</t>
  </si>
  <si>
    <t>3MND</t>
  </si>
  <si>
    <t>Western Bulk AS</t>
  </si>
  <si>
    <t>NO 0010675572</t>
  </si>
  <si>
    <t>Bank og finans</t>
  </si>
  <si>
    <t>Ya Bank AS</t>
  </si>
  <si>
    <t>NO 0010694060</t>
  </si>
  <si>
    <t>Industri og tjenester</t>
  </si>
  <si>
    <t>Vasakronan AB</t>
  </si>
  <si>
    <t>NO 0010611221</t>
  </si>
  <si>
    <t>Verd Boligkreditt AS</t>
  </si>
  <si>
    <t>NO 0010625288</t>
  </si>
  <si>
    <t>NO 0010640717</t>
  </si>
  <si>
    <t>NO 0010651136</t>
  </si>
  <si>
    <t>NO 0010659824</t>
  </si>
  <si>
    <t>NO 0010657521</t>
  </si>
  <si>
    <t>NO 0010673254</t>
  </si>
  <si>
    <t>NO 0010674666</t>
  </si>
  <si>
    <t>NO 0010686884</t>
  </si>
  <si>
    <t>NO 0010701212</t>
  </si>
  <si>
    <t>Vestland Offshore Invest AS</t>
  </si>
  <si>
    <t>NO 0010669971</t>
  </si>
  <si>
    <t>Volstad Shipping AS</t>
  </si>
  <si>
    <t>NO 0010680069</t>
  </si>
  <si>
    <t>Volstad Subsea AS</t>
  </si>
  <si>
    <t>NO 0010684574</t>
  </si>
  <si>
    <t>Viking Supply Ships A/S</t>
  </si>
  <si>
    <t>NO 0010638158</t>
  </si>
  <si>
    <t>NO 0010683873</t>
  </si>
  <si>
    <t>Voss Veksel- og Landmandsbank ASA</t>
  </si>
  <si>
    <t>NO 0010598329</t>
  </si>
  <si>
    <t>NO 0010647084</t>
  </si>
  <si>
    <t>NO 0010647092</t>
  </si>
  <si>
    <t>NO 0010687411</t>
  </si>
  <si>
    <t>Tafjord Kraft AS</t>
  </si>
  <si>
    <t>NO 0010601693</t>
  </si>
  <si>
    <t>NO 0010660350</t>
  </si>
  <si>
    <t>NO 0010662257</t>
  </si>
  <si>
    <t>NO 0010662331</t>
  </si>
  <si>
    <t>Teodin Acquico</t>
  </si>
  <si>
    <t>NO 0010659899</t>
  </si>
  <si>
    <t>Thon Holding AS</t>
  </si>
  <si>
    <t>NO 0010646227</t>
  </si>
  <si>
    <t>NO 0010661903</t>
  </si>
  <si>
    <t>NO 0010668361</t>
  </si>
  <si>
    <t>NO 0010674070</t>
  </si>
  <si>
    <t>Tine SA</t>
  </si>
  <si>
    <t>NO 0010660723</t>
  </si>
  <si>
    <t>NO 0010674179</t>
  </si>
  <si>
    <t>TiZir Limited</t>
  </si>
  <si>
    <t>NO 0010660400</t>
  </si>
  <si>
    <t>Time Sparebank</t>
  </si>
  <si>
    <t>NO 0010623465</t>
  </si>
  <si>
    <t>NO 0010650716</t>
  </si>
  <si>
    <t>NO 0010663602</t>
  </si>
  <si>
    <t>NO 0010669682</t>
  </si>
  <si>
    <t>NO 0010679228</t>
  </si>
  <si>
    <t>NO 0010691637</t>
  </si>
  <si>
    <t>Tinn Sparebank</t>
  </si>
  <si>
    <t>NO 0010661275</t>
  </si>
  <si>
    <t>NO 0010684152</t>
  </si>
  <si>
    <t>NO 0010623218</t>
  </si>
  <si>
    <t>NO 0010626849</t>
  </si>
  <si>
    <t>NO 0010662208</t>
  </si>
  <si>
    <t>NO 0010672173</t>
  </si>
  <si>
    <t>NO 0010684566</t>
  </si>
  <si>
    <t>NO 0010689888</t>
  </si>
  <si>
    <t>NO 0010695273</t>
  </si>
  <si>
    <t>Trøgstad Sparebank</t>
  </si>
  <si>
    <t>NO 0010674586</t>
  </si>
  <si>
    <t>NO 0010685456</t>
  </si>
  <si>
    <t>NO 0010694649</t>
  </si>
  <si>
    <t>NO 0010701345</t>
  </si>
  <si>
    <t>Kommune</t>
  </si>
  <si>
    <t>Trondheim Kommune</t>
  </si>
  <si>
    <t>NO 0010636418</t>
  </si>
  <si>
    <t>NO 0010641632</t>
  </si>
  <si>
    <t>NO 0010660988</t>
  </si>
  <si>
    <t>NO 0010671035</t>
  </si>
  <si>
    <t>Trønderenergi AS</t>
  </si>
  <si>
    <t>NO 0010662380</t>
  </si>
  <si>
    <t>Perpetual</t>
  </si>
  <si>
    <t>Tryg Forsikring A/S</t>
  </si>
  <si>
    <t>NO 0010672355</t>
  </si>
  <si>
    <t>Totens Sparebank Boligkreditt AS</t>
  </si>
  <si>
    <t>NO 0010607187</t>
  </si>
  <si>
    <t>NO 0010624117</t>
  </si>
  <si>
    <t>NO 0010674344</t>
  </si>
  <si>
    <t>NO 0010683469</t>
  </si>
  <si>
    <t>NO 0010693088</t>
  </si>
  <si>
    <t>NO 0010705346</t>
  </si>
  <si>
    <t>Tussa Kraft AS</t>
  </si>
  <si>
    <t>NO 0010680291</t>
  </si>
  <si>
    <t>Sandnes Sparebank</t>
  </si>
  <si>
    <t>NO 0010623887</t>
  </si>
  <si>
    <t>NO 0010635741</t>
  </si>
  <si>
    <t>NO 0010641830</t>
  </si>
  <si>
    <t>NO 0010649940</t>
  </si>
  <si>
    <t>NO 0010655038</t>
  </si>
  <si>
    <t>NO 0010657828</t>
  </si>
  <si>
    <t>NO 0010660095</t>
  </si>
  <si>
    <t>NO 0010665466</t>
  </si>
  <si>
    <t>NO 0010683378</t>
  </si>
  <si>
    <t>NO 0010692924</t>
  </si>
  <si>
    <t>Santander Consumer AS Bank</t>
  </si>
  <si>
    <t>NO 0010694581</t>
  </si>
  <si>
    <t>Bien Sparebank AS</t>
  </si>
  <si>
    <t>NO 0010638331</t>
  </si>
  <si>
    <t>NO 0010650245</t>
  </si>
  <si>
    <t>NO 0010662299</t>
  </si>
  <si>
    <t>NO 0010665169</t>
  </si>
  <si>
    <t>NO 0010683618</t>
  </si>
  <si>
    <t>NO 0010600224</t>
  </si>
  <si>
    <t>SpareBank 1 Gudbrandsdal</t>
  </si>
  <si>
    <t>NO 0010676232</t>
  </si>
  <si>
    <t>SpareBank 1 Hallingdal Valdres</t>
  </si>
  <si>
    <t>NO 0010670821</t>
  </si>
  <si>
    <t>NO 0010683790</t>
  </si>
  <si>
    <t>NO 0010683808</t>
  </si>
  <si>
    <t>Sparebanken Hedmark</t>
  </si>
  <si>
    <t>NO 0010599186</t>
  </si>
  <si>
    <t>NO 0010624539</t>
  </si>
  <si>
    <t>NO 0010626005</t>
  </si>
  <si>
    <t>NO 0010636582</t>
  </si>
  <si>
    <t>NO 0010642135</t>
  </si>
  <si>
    <t>NO 0010678642</t>
  </si>
  <si>
    <t>NO 0010682230</t>
  </si>
  <si>
    <t>NO 0010689474</t>
  </si>
  <si>
    <t>NO 0010692957</t>
  </si>
  <si>
    <t>NO 0010694466</t>
  </si>
  <si>
    <t>NO 0010703572</t>
  </si>
  <si>
    <t>NO 0010703820</t>
  </si>
  <si>
    <t>SpareBank 1 Næringskreditt AS</t>
  </si>
  <si>
    <t>NO 0010614969</t>
  </si>
  <si>
    <t>Fixed Covered</t>
  </si>
  <si>
    <t>NO 0010642085</t>
  </si>
  <si>
    <t>NO 0010661994</t>
  </si>
  <si>
    <t>NO 0010675846</t>
  </si>
  <si>
    <t>NO 0010679707</t>
  </si>
  <si>
    <t>SpareBank 1 Søre Sunnmøre</t>
  </si>
  <si>
    <t>NO 0010609886</t>
  </si>
  <si>
    <t>NO 0010649395</t>
  </si>
  <si>
    <t>NO 0010656861</t>
  </si>
  <si>
    <t>NO 0010656853</t>
  </si>
  <si>
    <t>NO 0010664469</t>
  </si>
  <si>
    <t>NO 0010664444</t>
  </si>
  <si>
    <t>NO 0010679285</t>
  </si>
  <si>
    <t>Sparebanken Telemark</t>
  </si>
  <si>
    <t>NO 0010605827</t>
  </si>
  <si>
    <t>NO 0010624984</t>
  </si>
  <si>
    <t>NO 0010637739</t>
  </si>
  <si>
    <t>NO 0010663313</t>
  </si>
  <si>
    <t>NO 0010668270</t>
  </si>
  <si>
    <t>NO 0010679269</t>
  </si>
  <si>
    <t>NO 0010686918</t>
  </si>
  <si>
    <t>NO 0010691033</t>
  </si>
  <si>
    <t>NO 0010702863</t>
  </si>
  <si>
    <t>SpareBank 1 BV</t>
  </si>
  <si>
    <t>NO 0010611080</t>
  </si>
  <si>
    <t>NO 0010629090</t>
  </si>
  <si>
    <t>NO 0010629967</t>
  </si>
  <si>
    <t>NO 0010646920</t>
  </si>
  <si>
    <t>NO 0010656457</t>
  </si>
  <si>
    <t>NO 0010657851</t>
  </si>
  <si>
    <t>NO 0010671282</t>
  </si>
  <si>
    <t>NO 0010672819</t>
  </si>
  <si>
    <t>NO 0010674849</t>
  </si>
  <si>
    <t>NO 0010687460</t>
  </si>
  <si>
    <t>NO 0010697600</t>
  </si>
  <si>
    <t>NO 0010702814</t>
  </si>
  <si>
    <t>Skandinaviska Enskilda Banken AB</t>
  </si>
  <si>
    <t>NO 0010637143</t>
  </si>
  <si>
    <t>Selbu Sparebank</t>
  </si>
  <si>
    <t>NO 0010650096</t>
  </si>
  <si>
    <t>NO 0010660418</t>
  </si>
  <si>
    <t>NO 0010660590</t>
  </si>
  <si>
    <t>NO 0010662091</t>
  </si>
  <si>
    <t>NO 0010685829</t>
  </si>
  <si>
    <t>NO 0010697261</t>
  </si>
  <si>
    <t>Selvaag Gruppen AS</t>
  </si>
  <si>
    <t>NO 0010637945</t>
  </si>
  <si>
    <t>Sparebanken Din</t>
  </si>
  <si>
    <t>NO 0010598444</t>
  </si>
  <si>
    <t>Sogn og Fjordane Energi AS</t>
  </si>
  <si>
    <t>NO 0010610017</t>
  </si>
  <si>
    <t>NO 0010624471</t>
  </si>
  <si>
    <t>NO 0010646193</t>
  </si>
  <si>
    <t>NO 0010671134</t>
  </si>
  <si>
    <t>NO 0010701170</t>
  </si>
  <si>
    <t>NO 0010599483</t>
  </si>
  <si>
    <t>NO 0010605702</t>
  </si>
  <si>
    <t>NO 0010635220</t>
  </si>
  <si>
    <t>NO 0010640725</t>
  </si>
  <si>
    <t>NO 0010656903</t>
  </si>
  <si>
    <t>NO 0010657091</t>
  </si>
  <si>
    <t>NO 0010669757</t>
  </si>
  <si>
    <t>NO 0010675184</t>
  </si>
  <si>
    <t>NO 0010692684</t>
  </si>
  <si>
    <t>NO 0010699465</t>
  </si>
  <si>
    <t>NO 0010697824</t>
  </si>
  <si>
    <t>NO 0010701311</t>
  </si>
  <si>
    <t>Skandiabanken AB</t>
  </si>
  <si>
    <t>NO 0010661622</t>
  </si>
  <si>
    <t>NO 0010685092</t>
  </si>
  <si>
    <t>Skudenes og Aakra Sparebank</t>
  </si>
  <si>
    <t>NO 0010605629</t>
  </si>
  <si>
    <t>NO 0010622715</t>
  </si>
  <si>
    <t>NO 0010650641</t>
  </si>
  <si>
    <t>NO 0010661705</t>
  </si>
  <si>
    <t>NO 0010670870</t>
  </si>
  <si>
    <t>NO 0010676257</t>
  </si>
  <si>
    <t>NO 0010682651</t>
  </si>
  <si>
    <t>Sektor Gruppen AS</t>
  </si>
  <si>
    <t>NO 0010665284</t>
  </si>
  <si>
    <t>NO 0010665292</t>
  </si>
  <si>
    <t>Sunnhordaland Kraftlag AS</t>
  </si>
  <si>
    <t>NO 0010703028</t>
  </si>
  <si>
    <t>Skue Sparebank</t>
  </si>
  <si>
    <t>NO 0010700545</t>
  </si>
  <si>
    <t>AB Stena Metall Finans</t>
  </si>
  <si>
    <t>NO 0010612203</t>
  </si>
  <si>
    <t>NO 0010682370</t>
  </si>
  <si>
    <t>SpareBank 1 Østfold Akershus</t>
  </si>
  <si>
    <t>NO 0010660483</t>
  </si>
  <si>
    <t>NO 0010660517</t>
  </si>
  <si>
    <t>NO 0010670185</t>
  </si>
  <si>
    <t>NO 0010673429</t>
  </si>
  <si>
    <t>NO 0010684277</t>
  </si>
  <si>
    <t>NO 0010680051</t>
  </si>
  <si>
    <t>-</t>
  </si>
  <si>
    <t>FRN evigvarende med fortrinnsrett</t>
  </si>
  <si>
    <t>NO 0010691728</t>
  </si>
  <si>
    <t>NO 0010695182</t>
  </si>
  <si>
    <t>Søgne og Greipstad Sparebank</t>
  </si>
  <si>
    <t>NO 0010650534</t>
  </si>
  <si>
    <t>NO 0010656556</t>
  </si>
  <si>
    <t>NO 0010670748</t>
  </si>
  <si>
    <t>NO 0010683899</t>
  </si>
  <si>
    <t>NO 0010701147</t>
  </si>
  <si>
    <t>Sparebanken Sør</t>
  </si>
  <si>
    <t>NO 0010598535</t>
  </si>
  <si>
    <t>NO 0010599129</t>
  </si>
  <si>
    <t>NO 0010601404</t>
  </si>
  <si>
    <t>NO 0010624703</t>
  </si>
  <si>
    <t>NO 0010629165</t>
  </si>
  <si>
    <t>NO 0010634801</t>
  </si>
  <si>
    <t>NO 0010635055</t>
  </si>
  <si>
    <t>NO 0010649338</t>
  </si>
  <si>
    <t>NO 0010675358</t>
  </si>
  <si>
    <t>NO 0010692189</t>
  </si>
  <si>
    <t>SpareBank 1 Boligkreditt</t>
  </si>
  <si>
    <t>NO 0010668221</t>
  </si>
  <si>
    <t>NO 0010679848</t>
  </si>
  <si>
    <t>NO 0010705486</t>
  </si>
  <si>
    <t>NO 0010604879</t>
  </si>
  <si>
    <t>NO 0010623986</t>
  </si>
  <si>
    <t>NO 0010625858</t>
  </si>
  <si>
    <t>Sparebanken Øst</t>
  </si>
  <si>
    <t>NO 0010626575</t>
  </si>
  <si>
    <t>NO 0010631229</t>
  </si>
  <si>
    <t>NO 0010650047</t>
  </si>
  <si>
    <t>NO 0010668247</t>
  </si>
  <si>
    <t>NO 0010670003</t>
  </si>
  <si>
    <t>NO 0010674203</t>
  </si>
  <si>
    <t>NO 0010685407</t>
  </si>
  <si>
    <t>NO 0010691488</t>
  </si>
  <si>
    <t>NO 0010691561</t>
  </si>
  <si>
    <t>NO 00106700263</t>
  </si>
  <si>
    <t>NO 0010700305</t>
  </si>
  <si>
    <t>Spareskillingsbanken</t>
  </si>
  <si>
    <t>NO 0010665318</t>
  </si>
  <si>
    <t>NO 0010682172</t>
  </si>
  <si>
    <t>NO 0010673577</t>
  </si>
  <si>
    <t>Spydeberg Sparebank</t>
  </si>
  <si>
    <t>NO 0010627870</t>
  </si>
  <si>
    <t>NO 0010675069</t>
  </si>
  <si>
    <t>NO 0010703671</t>
  </si>
  <si>
    <t>Sparebank 1 SR-Bank</t>
  </si>
  <si>
    <t>NO 0010634785</t>
  </si>
  <si>
    <t>NO 0010635196</t>
  </si>
  <si>
    <t>NO 0010635600</t>
  </si>
  <si>
    <t>NO 0010660061</t>
  </si>
  <si>
    <t>NO 0010676208</t>
  </si>
  <si>
    <t>NO 0010685506</t>
  </si>
  <si>
    <t>SSB Boligkreditt AS</t>
  </si>
  <si>
    <t>NO 0010601099</t>
  </si>
  <si>
    <t>NO 0010636335</t>
  </si>
  <si>
    <t>NO 0010689664</t>
  </si>
  <si>
    <t>NO 0010697691</t>
  </si>
  <si>
    <t>Bustadkreditt Sogn og Fjordane AS</t>
  </si>
  <si>
    <t>NO 0010625619</t>
  </si>
  <si>
    <t>NO 0010630973</t>
  </si>
  <si>
    <t>NO 0010637101</t>
  </si>
  <si>
    <t>NO 0010660020</t>
  </si>
  <si>
    <t>NO 0010665177</t>
  </si>
  <si>
    <t>Storebrand ASA</t>
  </si>
  <si>
    <t>NO 0010605652</t>
  </si>
  <si>
    <t>NO 0010691876</t>
  </si>
  <si>
    <t>NO 0010691884</t>
  </si>
  <si>
    <t>Storebrand Bank ASA</t>
  </si>
  <si>
    <t>NO 0010599822</t>
  </si>
  <si>
    <t>NO 0010635626</t>
  </si>
  <si>
    <t>NO 0010641079</t>
  </si>
  <si>
    <t>NO 0010654510</t>
  </si>
  <si>
    <t>NO 0010660806</t>
  </si>
  <si>
    <t>NO 0010662752</t>
  </si>
  <si>
    <t>NO 0010670979</t>
  </si>
  <si>
    <t>Sterling Resources</t>
  </si>
  <si>
    <t>NO 0010675671</t>
  </si>
  <si>
    <t>Strømmen Sparebank</t>
  </si>
  <si>
    <t>NO 0010628464</t>
  </si>
  <si>
    <t>NO 0010642556</t>
  </si>
  <si>
    <t>NO 0010670458</t>
  </si>
  <si>
    <t>Surnadal Sparebank</t>
  </si>
  <si>
    <t>NO 0010649122</t>
  </si>
  <si>
    <t>NO 0010656390</t>
  </si>
  <si>
    <t>NO 0010675895</t>
  </si>
  <si>
    <t>NO 0010634009</t>
  </si>
  <si>
    <t>NO 0010635006</t>
  </si>
  <si>
    <t>NO 0010641939</t>
  </si>
  <si>
    <t>NO 0010643216</t>
  </si>
  <si>
    <t>NO 0010635907</t>
  </si>
  <si>
    <t>NO 0010654742</t>
  </si>
  <si>
    <t>NO 0010655376</t>
  </si>
  <si>
    <t>NO 0010663081</t>
  </si>
  <si>
    <t>NO 0010669724</t>
  </si>
  <si>
    <t>NO 0010670151</t>
  </si>
  <si>
    <t>NO 0010675556</t>
  </si>
  <si>
    <t>NO 0010691249</t>
  </si>
  <si>
    <t>Evigvarende</t>
  </si>
  <si>
    <t>NO 0010691256</t>
  </si>
  <si>
    <t>NO 0010703952</t>
  </si>
  <si>
    <t>Swebank AB</t>
  </si>
  <si>
    <t>NO 0010628662</t>
  </si>
  <si>
    <t>Rem Offshore ASA</t>
  </si>
  <si>
    <t>NO 0010664816</t>
  </si>
  <si>
    <t>NO 0010672835</t>
  </si>
  <si>
    <t>Rieber &amp; Søn ASA</t>
  </si>
  <si>
    <t>NO 0010610991</t>
  </si>
  <si>
    <t>SpareBank 1 Ringerike Hadeland</t>
  </si>
  <si>
    <t>NO 0010637986</t>
  </si>
  <si>
    <t>NO 0010646896</t>
  </si>
  <si>
    <t>NO 0010654635</t>
  </si>
  <si>
    <t>NO 0010662000</t>
  </si>
  <si>
    <t>NO 0010665250</t>
  </si>
  <si>
    <t>NO 0010671571</t>
  </si>
  <si>
    <t>NO 0010679319</t>
  </si>
  <si>
    <t>NO 0010686637</t>
  </si>
  <si>
    <t>Ringeriks-Kraft AS</t>
  </si>
  <si>
    <t>NO 0010689417</t>
  </si>
  <si>
    <t>SpareBank 1 SR-Bank ASA</t>
  </si>
  <si>
    <t>NO 0010627854</t>
  </si>
  <si>
    <t>RørosBanken</t>
  </si>
  <si>
    <t>NO 0010657620</t>
  </si>
  <si>
    <t>NO 0010662596</t>
  </si>
  <si>
    <t>NO 0010671092</t>
  </si>
  <si>
    <t>NO 0010687254</t>
  </si>
  <si>
    <t>NO 0010605892</t>
  </si>
  <si>
    <t>NO 0010628480</t>
  </si>
  <si>
    <t>NO 0010649874</t>
  </si>
  <si>
    <t>NO 0010662455</t>
  </si>
  <si>
    <t>NO 0010669641</t>
  </si>
  <si>
    <t>NO 0010691025</t>
  </si>
  <si>
    <t>Petrolia SE</t>
  </si>
  <si>
    <t>NO 0010683592</t>
  </si>
  <si>
    <t>NO 0010599731</t>
  </si>
  <si>
    <t>NO 0010601164</t>
  </si>
  <si>
    <t>NO 0010605454</t>
  </si>
  <si>
    <t>NO 0010609720</t>
  </si>
  <si>
    <t>NO 0010627623</t>
  </si>
  <si>
    <t>NO 0010629124</t>
  </si>
  <si>
    <t>NO 0010664956</t>
  </si>
  <si>
    <t>NO 0010672793</t>
  </si>
  <si>
    <t>NO 0010680093</t>
  </si>
  <si>
    <t>NO 0010697063</t>
  </si>
  <si>
    <t>Pioneer Public Properties II AS</t>
  </si>
  <si>
    <t>NO 0010674377</t>
  </si>
  <si>
    <t>Protector Forsikring ASA</t>
  </si>
  <si>
    <t>NO 0010642127</t>
  </si>
  <si>
    <t>OBOS Forretningsbygg AS</t>
  </si>
  <si>
    <t>NO 0010671001</t>
  </si>
  <si>
    <t>Obos Banken AS</t>
  </si>
  <si>
    <t>NO 0010694912</t>
  </si>
  <si>
    <t>Obos BBL</t>
  </si>
  <si>
    <t>NO 0010695158</t>
  </si>
  <si>
    <t>NO 0010697519</t>
  </si>
  <si>
    <t>Ocean Rig UDW Inc.</t>
  </si>
  <si>
    <t>NO 0010607625</t>
  </si>
  <si>
    <t>Odal Sparebank</t>
  </si>
  <si>
    <t>NO 0010656440</t>
  </si>
  <si>
    <t>NO 0010661887</t>
  </si>
  <si>
    <t>NO 0010662851</t>
  </si>
  <si>
    <t>NO 0010668023</t>
  </si>
  <si>
    <t>NO 0010690803</t>
  </si>
  <si>
    <t>NO 0010699085</t>
  </si>
  <si>
    <t>Ofoten Sparebank</t>
  </si>
  <si>
    <t>NO 0010660798</t>
  </si>
  <si>
    <t>NO 0010671498</t>
  </si>
  <si>
    <t>Olympic Ship AS</t>
  </si>
  <si>
    <t>NO 0010598907</t>
  </si>
  <si>
    <t>NO 0010659931</t>
  </si>
  <si>
    <t>Opdals Sparebank</t>
  </si>
  <si>
    <t>NO 0010647290</t>
  </si>
  <si>
    <t>NO 0010659758</t>
  </si>
  <si>
    <t>NO 0010664410</t>
  </si>
  <si>
    <t>NO 0010674864</t>
  </si>
  <si>
    <t>NO 0010683410</t>
  </si>
  <si>
    <t>NO 0010689524</t>
  </si>
  <si>
    <t>NO 0010697360</t>
  </si>
  <si>
    <t>NO 0010703903</t>
  </si>
  <si>
    <t>Ørland Sparebank</t>
  </si>
  <si>
    <t>NO 0010650195</t>
  </si>
  <si>
    <t>NO 0010660780</t>
  </si>
  <si>
    <t>NO 0010684442</t>
  </si>
  <si>
    <t>NO 0010686462</t>
  </si>
  <si>
    <t>Orkdal Sparebank</t>
  </si>
  <si>
    <t>NO 0010636178</t>
  </si>
  <si>
    <t>NO 0010657257</t>
  </si>
  <si>
    <t>NO 0010671704</t>
  </si>
  <si>
    <t>NO 0010679798</t>
  </si>
  <si>
    <t>NO 0010696982</t>
  </si>
  <si>
    <t>NO 0010703184</t>
  </si>
  <si>
    <t>NO 0010689896</t>
  </si>
  <si>
    <t>Otium AS</t>
  </si>
  <si>
    <t>NO 0010665367</t>
  </si>
  <si>
    <t>LIBOR</t>
  </si>
  <si>
    <t>Oceanteam Shipping ASA</t>
  </si>
  <si>
    <t>NO 0010662018</t>
  </si>
  <si>
    <t>Sparebanken Narvik</t>
  </si>
  <si>
    <t>NO 0010633720</t>
  </si>
  <si>
    <t>NO 0010649279</t>
  </si>
  <si>
    <t>NO 0010679558</t>
  </si>
  <si>
    <t>Nes Prestegjelds Sparebank</t>
  </si>
  <si>
    <t>NO 0010607674</t>
  </si>
  <si>
    <t>NO 0010657836</t>
  </si>
  <si>
    <t>NO 0010691199</t>
  </si>
  <si>
    <t>SpareBank 1 Nord-Norge</t>
  </si>
  <si>
    <t>NO 0010598998</t>
  </si>
  <si>
    <t>NO 0010599079</t>
  </si>
  <si>
    <t>NO 0010623580</t>
  </si>
  <si>
    <t>NO 0010626856</t>
  </si>
  <si>
    <t>NO 0010641566</t>
  </si>
  <si>
    <t>NO 0010649213</t>
  </si>
  <si>
    <t>NO 0010669849</t>
  </si>
  <si>
    <t>NO 0010669716</t>
  </si>
  <si>
    <t>NO 0010693989</t>
  </si>
  <si>
    <t>NO 0010693971</t>
  </si>
  <si>
    <t>NO 0010603747</t>
  </si>
  <si>
    <t>Nortura SA</t>
  </si>
  <si>
    <t>NO 0010650674</t>
  </si>
  <si>
    <t>NO 0010683691</t>
  </si>
  <si>
    <t>Nord-Salten Kraft AS</t>
  </si>
  <si>
    <t>NO 0010679608</t>
  </si>
  <si>
    <t>SpareBank 1 Nøtterøy - Tønsberg</t>
  </si>
  <si>
    <t>NO 0010609613</t>
  </si>
  <si>
    <t>NO 0010662950</t>
  </si>
  <si>
    <t>NO 0010680192</t>
  </si>
  <si>
    <t>NO 0010689409</t>
  </si>
  <si>
    <t>NO 0010691793</t>
  </si>
  <si>
    <t>SpareBank 1 Nordvest</t>
  </si>
  <si>
    <t>NO 0010605710</t>
  </si>
  <si>
    <t>NO 0010614936</t>
  </si>
  <si>
    <t>NO 0010623135</t>
  </si>
  <si>
    <t>NO 0010641905</t>
  </si>
  <si>
    <t>NO 0010660871</t>
  </si>
  <si>
    <t>NO 0010686249</t>
  </si>
  <si>
    <t>Meldal Sparebank</t>
  </si>
  <si>
    <t>NO 0010697469</t>
  </si>
  <si>
    <t>NO 0010699010</t>
  </si>
  <si>
    <t>Melhus Sparebank</t>
  </si>
  <si>
    <t>NO 0010623275</t>
  </si>
  <si>
    <t>NO 0010662604</t>
  </si>
  <si>
    <t>NO 0010672686</t>
  </si>
  <si>
    <t>NO 0010675861</t>
  </si>
  <si>
    <t>NO 0010690837</t>
  </si>
  <si>
    <t>NO 0010690845</t>
  </si>
  <si>
    <t>NO 0010703424</t>
  </si>
  <si>
    <t>NO 0010606288</t>
  </si>
  <si>
    <t>NO 0010626815</t>
  </si>
  <si>
    <t>NO 0010634967</t>
  </si>
  <si>
    <t>NO 0010635782</t>
  </si>
  <si>
    <t>NO 0010649262</t>
  </si>
  <si>
    <t>NO 0010656895</t>
  </si>
  <si>
    <t>NO 0010662687</t>
  </si>
  <si>
    <t>NO 0010667819</t>
  </si>
  <si>
    <t>NO 0010694946</t>
  </si>
  <si>
    <t>NO 0010697105</t>
  </si>
  <si>
    <t>NO 0010703416</t>
  </si>
  <si>
    <t>Modum Sparebank</t>
  </si>
  <si>
    <t>NO 0010605645</t>
  </si>
  <si>
    <t>NO 0010669872</t>
  </si>
  <si>
    <t>NO 0010687247</t>
  </si>
  <si>
    <t>Landkreditt Boligkreditt AS</t>
  </si>
  <si>
    <t>NO 0010608011</t>
  </si>
  <si>
    <t>NO 0010624497</t>
  </si>
  <si>
    <t>NO 0010703663</t>
  </si>
  <si>
    <t>Landkreditt Bank AS</t>
  </si>
  <si>
    <t>NO 0010611973</t>
  </si>
  <si>
    <t>NO 0010661499</t>
  </si>
  <si>
    <t>NO 0010684228</t>
  </si>
  <si>
    <t>NO 0010684301</t>
  </si>
  <si>
    <t>NO 0010695117</t>
  </si>
  <si>
    <t>Landkreditt Finans AS</t>
  </si>
  <si>
    <t>NO 0010678634</t>
  </si>
  <si>
    <t>NO 0010691850</t>
  </si>
  <si>
    <t>NO 0010703432</t>
  </si>
  <si>
    <t>Larvikbanken Brunlanes Sparebank</t>
  </si>
  <si>
    <t>NO 0010641749</t>
  </si>
  <si>
    <t>NO 0010679764</t>
  </si>
  <si>
    <t>NO 0010694037</t>
  </si>
  <si>
    <t>NO 0010699523</t>
  </si>
  <si>
    <t>Lillesands Sparebank</t>
  </si>
  <si>
    <t>NO 0010612401</t>
  </si>
  <si>
    <t>NO 0010649973</t>
  </si>
  <si>
    <t>NO 0010663156</t>
  </si>
  <si>
    <t>NO 0010691843</t>
  </si>
  <si>
    <t>NO 0010705890</t>
  </si>
  <si>
    <t>Lofoten Sparebank</t>
  </si>
  <si>
    <t>NO 0010672579</t>
  </si>
  <si>
    <t>LeasePlan Corporation NV</t>
  </si>
  <si>
    <t>NO 0010657661</t>
  </si>
  <si>
    <t>Lom og Skjåk Sparebank</t>
  </si>
  <si>
    <t>NO 0010670904</t>
  </si>
  <si>
    <t>NO 0010687502</t>
  </si>
  <si>
    <t>NO 0010694045</t>
  </si>
  <si>
    <t>Lillestrøm Sparebank</t>
  </si>
  <si>
    <t>NO 0010601206</t>
  </si>
  <si>
    <t>NO 0010608086</t>
  </si>
  <si>
    <t>NO 0010608094</t>
  </si>
  <si>
    <t>NO 0010671837</t>
  </si>
  <si>
    <t>NO 0010696925</t>
  </si>
  <si>
    <t>NO 0010696933</t>
  </si>
  <si>
    <t>Luster Sparebank</t>
  </si>
  <si>
    <t>NO 0010609670</t>
  </si>
  <si>
    <t>NO 0010665011</t>
  </si>
  <si>
    <t>NO 0010670383</t>
  </si>
  <si>
    <t>Klæbu Sparebank</t>
  </si>
  <si>
    <t>NO 0010679772</t>
  </si>
  <si>
    <t>NO 0010689318</t>
  </si>
  <si>
    <t>NO 0010699580</t>
  </si>
  <si>
    <t>evigvarende fondsobligasjon</t>
  </si>
  <si>
    <t>NO 0010699945</t>
  </si>
  <si>
    <t>Kvinesdal Sparebank</t>
  </si>
  <si>
    <t>NO 0010635717</t>
  </si>
  <si>
    <t>NO 0010664493</t>
  </si>
  <si>
    <t>NO 0010675242</t>
  </si>
  <si>
    <t>NO 0010697022</t>
  </si>
  <si>
    <t>NO 0010685472</t>
  </si>
  <si>
    <t>Kredittforeningen for Sparebanker</t>
  </si>
  <si>
    <t>NO 0010599814</t>
  </si>
  <si>
    <t>NO 0010611858</t>
  </si>
  <si>
    <t>NO 0010649510</t>
  </si>
  <si>
    <t>NO 0010660996</t>
  </si>
  <si>
    <t>NO 0010661010</t>
  </si>
  <si>
    <t>NO 0010661879</t>
  </si>
  <si>
    <t>NO 0010669799</t>
  </si>
  <si>
    <t>NO 0010672074</t>
  </si>
  <si>
    <t>NO 0010684350</t>
  </si>
  <si>
    <t>NO 0010697196</t>
  </si>
  <si>
    <t>NO 0010703762</t>
  </si>
  <si>
    <t>KISTEFOS AS</t>
  </si>
  <si>
    <t>NO 0010650757</t>
  </si>
  <si>
    <t>NO 0010699200</t>
  </si>
  <si>
    <t>Klepp Sparebank</t>
  </si>
  <si>
    <t>NO 0010637317</t>
  </si>
  <si>
    <t>NO 0010654791</t>
  </si>
  <si>
    <t>NO 0010660673</t>
  </si>
  <si>
    <t>NO 0010663453</t>
  </si>
  <si>
    <t>NO 0010673726</t>
  </si>
  <si>
    <t>NO 0010675804</t>
  </si>
  <si>
    <t>NO 0010692775</t>
  </si>
  <si>
    <t>KLP Banken AS</t>
  </si>
  <si>
    <t>NO 0010649460</t>
  </si>
  <si>
    <t>NO 0010656770</t>
  </si>
  <si>
    <t>NO 0010663172</t>
  </si>
  <si>
    <t>NO 0010679160</t>
  </si>
  <si>
    <t>NO 0010691322</t>
  </si>
  <si>
    <t>NO 0010705692</t>
  </si>
  <si>
    <t>Kollektivtransportproduksjon AS</t>
  </si>
  <si>
    <t>NO 0010637507</t>
  </si>
  <si>
    <t>Kragerø Sparebank</t>
  </si>
  <si>
    <t>NO 0010659998</t>
  </si>
  <si>
    <t>NO 0010668338</t>
  </si>
  <si>
    <t>NO 0010669690</t>
  </si>
  <si>
    <t>Klaveness Ship Holding AS</t>
  </si>
  <si>
    <t>NO 0010675986</t>
  </si>
  <si>
    <t>Jernbanepersonalets Sparebank</t>
  </si>
  <si>
    <t>NO 0010691314</t>
  </si>
  <si>
    <t>Iona Energy Company</t>
  </si>
  <si>
    <t>NO 0010689763</t>
  </si>
  <si>
    <t>IGas Energy Plc</t>
  </si>
  <si>
    <t>NO 0010698053</t>
  </si>
  <si>
    <t>Island Offshore Shipholding L.P.</t>
  </si>
  <si>
    <t>NO 0010673866</t>
  </si>
  <si>
    <t>Indre Sogn Sparebank</t>
  </si>
  <si>
    <t>NO 0010612419</t>
  </si>
  <si>
    <t>NO 0010649205</t>
  </si>
  <si>
    <t>NO 0010671274</t>
  </si>
  <si>
    <t>NO 0010672967</t>
  </si>
  <si>
    <t>NO 00106700370</t>
  </si>
  <si>
    <t>NO 0010699176</t>
  </si>
  <si>
    <t>NO0010703218</t>
  </si>
  <si>
    <t>NO0010699457</t>
  </si>
  <si>
    <t>NO0010699440</t>
  </si>
  <si>
    <t>NO0010695125</t>
  </si>
  <si>
    <t>NO0010684335</t>
  </si>
  <si>
    <t>NO0010656192</t>
  </si>
  <si>
    <t>NO0010623143</t>
  </si>
  <si>
    <t>Hønefoss Sparebank</t>
  </si>
  <si>
    <t>NO0010690902</t>
  </si>
  <si>
    <t>NO0010672116</t>
  </si>
  <si>
    <t>NO0010660939</t>
  </si>
  <si>
    <t>Halden Sparebank</t>
  </si>
  <si>
    <t>NO0010699418</t>
  </si>
  <si>
    <t>Hjelmeland Sparebank</t>
  </si>
  <si>
    <t>NO0010699275</t>
  </si>
  <si>
    <t>NO0010687122</t>
  </si>
  <si>
    <t>NO0010674021</t>
  </si>
  <si>
    <t>NO0010668312</t>
  </si>
  <si>
    <t>NO0010656838</t>
  </si>
  <si>
    <t>Hjartdal og Gransherad Spb</t>
  </si>
  <si>
    <t>NO0010671175</t>
  </si>
  <si>
    <t>NO0010654312</t>
  </si>
  <si>
    <t>NO0010606007</t>
  </si>
  <si>
    <t>Haugesund Sparebank</t>
  </si>
  <si>
    <t>NO0010665029</t>
  </si>
  <si>
    <t>NO0010649742</t>
  </si>
  <si>
    <t>NO0010649734</t>
  </si>
  <si>
    <t>Hegra Sparebank</t>
  </si>
  <si>
    <t>NO0010602954</t>
  </si>
  <si>
    <t>NO0010691595</t>
  </si>
  <si>
    <t>NO0010673114</t>
  </si>
  <si>
    <t>NO0010647332</t>
  </si>
  <si>
    <t>HelgelandsKraft</t>
  </si>
  <si>
    <t>NO0010661754</t>
  </si>
  <si>
    <t>NO00106705270</t>
  </si>
  <si>
    <t>NO0010697386</t>
  </si>
  <si>
    <t>NO0010681216</t>
  </si>
  <si>
    <t>NO0010679418</t>
  </si>
  <si>
    <t>NO0010675259</t>
  </si>
  <si>
    <t>NO0010670177</t>
  </si>
  <si>
    <t>NO0010659691</t>
  </si>
  <si>
    <t>NO0010650500</t>
  </si>
  <si>
    <t>NO0010638125</t>
  </si>
  <si>
    <t>NO0010635501</t>
  </si>
  <si>
    <t>NO0010625569</t>
  </si>
  <si>
    <t>NO0010624174</t>
  </si>
  <si>
    <t>NO0010599244</t>
  </si>
  <si>
    <t>NO0010599269</t>
  </si>
  <si>
    <t>Helgeland Boligkreditt</t>
  </si>
  <si>
    <t>NO0010686710</t>
  </si>
  <si>
    <t>NO0010660640</t>
  </si>
  <si>
    <t>NO0010645963</t>
  </si>
  <si>
    <t>NO0010635253</t>
  </si>
  <si>
    <t>NO0010628431</t>
  </si>
  <si>
    <t>NO0010623978</t>
  </si>
  <si>
    <t>Havila Shipping</t>
  </si>
  <si>
    <t>NO0010664808</t>
  </si>
  <si>
    <t>NO0010657174</t>
  </si>
  <si>
    <t>Harstad Sparebank</t>
  </si>
  <si>
    <t>NO0010662885</t>
  </si>
  <si>
    <t>Grong Sparebank</t>
  </si>
  <si>
    <t>NO0010692080</t>
  </si>
  <si>
    <t>NO0010691793</t>
  </si>
  <si>
    <t>NO0010662281</t>
  </si>
  <si>
    <t>USD 1</t>
  </si>
  <si>
    <t>Global Rig Company</t>
  </si>
  <si>
    <t>NO0010614217</t>
  </si>
  <si>
    <t>Gjensidige Bank</t>
  </si>
  <si>
    <t>NO0010689623</t>
  </si>
  <si>
    <t>NO0010679905</t>
  </si>
  <si>
    <t>NO0010679301</t>
  </si>
  <si>
    <t>NO0010675655</t>
  </si>
  <si>
    <t>NO0010671993</t>
  </si>
  <si>
    <t>Gjensidige Bank Boligkreditt</t>
  </si>
  <si>
    <t>NO0010687429</t>
  </si>
  <si>
    <t>NO0010680283</t>
  </si>
  <si>
    <t>NO0010678766</t>
  </si>
  <si>
    <t>NO0010662737</t>
  </si>
  <si>
    <t>NO0010660327</t>
  </si>
  <si>
    <t>NO0010641897</t>
  </si>
  <si>
    <t>NO0010629157</t>
  </si>
  <si>
    <t>NO0010615644</t>
  </si>
  <si>
    <t>NO0010612278</t>
  </si>
  <si>
    <t>NO0010607385</t>
  </si>
  <si>
    <t>Fana Sparebank Boligkreditt</t>
  </si>
  <si>
    <t>NO0010703564</t>
  </si>
  <si>
    <t>NO0010694557</t>
  </si>
  <si>
    <t>NO0010686272</t>
  </si>
  <si>
    <t>NO0010682636</t>
  </si>
  <si>
    <t>NO0010679657</t>
  </si>
  <si>
    <t>NO0010641038</t>
  </si>
  <si>
    <t>NO0010636442</t>
  </si>
  <si>
    <t>Fana Sparebank</t>
  </si>
  <si>
    <t>NO0010706013</t>
  </si>
  <si>
    <t>NO0010697972</t>
  </si>
  <si>
    <t>NO0010692783</t>
  </si>
  <si>
    <t>NO0010687387</t>
  </si>
  <si>
    <t>NO0010684269</t>
  </si>
  <si>
    <t>NO0010671613</t>
  </si>
  <si>
    <t>NO0010663198</t>
  </si>
  <si>
    <t>NO0010656408</t>
  </si>
  <si>
    <t>NO0010649726</t>
  </si>
  <si>
    <t>Fornebu  Sparebank</t>
  </si>
  <si>
    <t>NO0010671423</t>
  </si>
  <si>
    <t>NO0010641707</t>
  </si>
  <si>
    <t>NO0010628100</t>
  </si>
  <si>
    <t>Felleskjøpet</t>
  </si>
  <si>
    <t>NO0010671233</t>
  </si>
  <si>
    <t>Fjordline</t>
  </si>
  <si>
    <t>NO0010671084</t>
  </si>
  <si>
    <t>Fjellinjen</t>
  </si>
  <si>
    <t>NO0010624620</t>
  </si>
  <si>
    <t>NO0010630775</t>
  </si>
  <si>
    <t>Fredrikstad Energi</t>
  </si>
  <si>
    <t>NO0010662406</t>
  </si>
  <si>
    <t>NO0010662117</t>
  </si>
  <si>
    <t>NO0010662083</t>
  </si>
  <si>
    <t>Etne Sparebank</t>
  </si>
  <si>
    <t>NO0010673122</t>
  </si>
  <si>
    <t>NO0010670250</t>
  </si>
  <si>
    <t>NO0010649833</t>
  </si>
  <si>
    <t>Eiendomskreditt</t>
  </si>
  <si>
    <t>NO0010702806</t>
  </si>
  <si>
    <t>NO0010683774</t>
  </si>
  <si>
    <t>NO0010675648</t>
  </si>
  <si>
    <t>NO0010663099</t>
  </si>
  <si>
    <t>NO0010662588</t>
  </si>
  <si>
    <t>NO0010635311</t>
  </si>
  <si>
    <t>NO0010675853</t>
  </si>
  <si>
    <t>NO0010691942</t>
  </si>
  <si>
    <t>NO0010679293</t>
  </si>
  <si>
    <t>NO0010664923</t>
  </si>
  <si>
    <t>Eika Boligkreditt</t>
  </si>
  <si>
    <t>NO0010605593</t>
  </si>
  <si>
    <t>NO0010699234</t>
  </si>
  <si>
    <t>NO0010697733</t>
  </si>
  <si>
    <t>NO0010691991</t>
  </si>
  <si>
    <t>NO0010679632</t>
  </si>
  <si>
    <t>NO0010673106</t>
  </si>
  <si>
    <t>NO0010662521</t>
  </si>
  <si>
    <t>Eika Gruppen</t>
  </si>
  <si>
    <t>NO0010687320</t>
  </si>
  <si>
    <t>NO0010667611</t>
  </si>
  <si>
    <t>NO0010664436</t>
  </si>
  <si>
    <t>E Forland</t>
  </si>
  <si>
    <t>NO0010686561</t>
  </si>
  <si>
    <t>E-CO Energi Holding</t>
  </si>
  <si>
    <t>NO0010702947</t>
  </si>
  <si>
    <t>NO0010664725</t>
  </si>
  <si>
    <t>NO0010699566</t>
  </si>
  <si>
    <t>Drangedal og Tørdal Sparebank</t>
  </si>
  <si>
    <t>NO0010686694</t>
  </si>
  <si>
    <t>NO0010671456</t>
  </si>
  <si>
    <t>DNB Næringskreditt</t>
  </si>
  <si>
    <t>NO0010694474</t>
  </si>
  <si>
    <t>NO0010694425</t>
  </si>
  <si>
    <t>USD 1000</t>
  </si>
  <si>
    <t>Dannemora Minerals</t>
  </si>
  <si>
    <t>NO0010601198</t>
  </si>
  <si>
    <t>Deep Drilling</t>
  </si>
  <si>
    <t>NO0010633225</t>
  </si>
  <si>
    <t>Color Group</t>
  </si>
  <si>
    <t>NO0010657919</t>
  </si>
  <si>
    <t>SEK 300000000</t>
  </si>
  <si>
    <t>Braathens Aviation</t>
  </si>
  <si>
    <t>NO0010673346</t>
  </si>
  <si>
    <t>Bank 1 Oslo Akershus</t>
  </si>
  <si>
    <t>NO0010698046</t>
  </si>
  <si>
    <t>NO0010687445</t>
  </si>
  <si>
    <t>NO0010679723</t>
  </si>
  <si>
    <t>NO0010674450</t>
  </si>
  <si>
    <t>NO0010672066</t>
  </si>
  <si>
    <t>NO0010670136</t>
  </si>
  <si>
    <t>NO0010669765</t>
  </si>
  <si>
    <t>NO0010656598</t>
  </si>
  <si>
    <t>NO0010654924</t>
  </si>
  <si>
    <t>NO0010637713</t>
  </si>
  <si>
    <t>NO0010614639</t>
  </si>
  <si>
    <t>Borgestad</t>
  </si>
  <si>
    <t>NO0010649924</t>
  </si>
  <si>
    <t>Boa SBL</t>
  </si>
  <si>
    <t>NO0010675051</t>
  </si>
  <si>
    <t xml:space="preserve">Boa Offshore </t>
  </si>
  <si>
    <t>NO0010664899</t>
  </si>
  <si>
    <t>BN Kreditt</t>
  </si>
  <si>
    <t>NO0010649619</t>
  </si>
  <si>
    <t>BN Bank</t>
  </si>
  <si>
    <t>NO0010701238</t>
  </si>
  <si>
    <t>NO0010700768</t>
  </si>
  <si>
    <t>NO0010700685</t>
  </si>
  <si>
    <t>NO0010700271</t>
  </si>
  <si>
    <t>NO0010679855</t>
  </si>
  <si>
    <t>NO0010673023</t>
  </si>
  <si>
    <t>NO0010671290</t>
  </si>
  <si>
    <t>NO0010671019</t>
  </si>
  <si>
    <t>NO0010668437</t>
  </si>
  <si>
    <t>NO0010663297</t>
  </si>
  <si>
    <t>NO0010656788</t>
  </si>
  <si>
    <t>NO0010650633</t>
  </si>
  <si>
    <t>NO0010641608</t>
  </si>
  <si>
    <t>NO0010641616</t>
  </si>
  <si>
    <t>NO0010635535</t>
  </si>
  <si>
    <t>NO0010599202</t>
  </si>
  <si>
    <t>NO0010598360</t>
  </si>
  <si>
    <t>Bamble Sparebank</t>
  </si>
  <si>
    <t>NO0010689789</t>
  </si>
  <si>
    <t>NO0010679392</t>
  </si>
  <si>
    <t>NO0010661952</t>
  </si>
  <si>
    <t>NO0010649437</t>
  </si>
  <si>
    <t>NO0010637861</t>
  </si>
  <si>
    <t>Blaker Sparebank</t>
  </si>
  <si>
    <t>NO0010676067</t>
  </si>
  <si>
    <t>NO0010647316</t>
  </si>
  <si>
    <t>NO0010627979</t>
  </si>
  <si>
    <t>Bluewater Holding B.V.</t>
  </si>
  <si>
    <t>NO0010697485</t>
  </si>
  <si>
    <t>Bud, Fræna og Hustad Sparebank</t>
  </si>
  <si>
    <t>NO0010699135</t>
  </si>
  <si>
    <t>NO0010699143</t>
  </si>
  <si>
    <t>NO0010689847</t>
  </si>
  <si>
    <t>NO0010689839</t>
  </si>
  <si>
    <t>NO0010680333</t>
  </si>
  <si>
    <t>NO0010670367</t>
  </si>
  <si>
    <t>Call/put</t>
  </si>
  <si>
    <t>BassDrill Alpha LTD</t>
  </si>
  <si>
    <t>NO0010684327</t>
  </si>
  <si>
    <t>Bank Norwegian AS</t>
  </si>
  <si>
    <t>NO0010697428</t>
  </si>
  <si>
    <t>NO0010680077</t>
  </si>
  <si>
    <t>NO0010679673</t>
  </si>
  <si>
    <t>NO0010614506</t>
  </si>
  <si>
    <t>Austevoll Seafood</t>
  </si>
  <si>
    <t>NO0010636012</t>
  </si>
  <si>
    <t>Aurskog Sparebank</t>
  </si>
  <si>
    <t>NO0010703176</t>
  </si>
  <si>
    <t>NO0010700957</t>
  </si>
  <si>
    <t>NO0010689771</t>
  </si>
  <si>
    <t>NO0010683931</t>
  </si>
  <si>
    <t>NO0010671712</t>
  </si>
  <si>
    <t>NO0010662810</t>
  </si>
  <si>
    <t>NO0010662828</t>
  </si>
  <si>
    <t>NO0010657372</t>
  </si>
  <si>
    <t>NO0010647266</t>
  </si>
  <si>
    <t>NO0010637374</t>
  </si>
  <si>
    <t>NO0010607468</t>
  </si>
  <si>
    <t>Atlantic Offshore</t>
  </si>
  <si>
    <t>NO0010667835</t>
  </si>
  <si>
    <t>NO0010650112</t>
  </si>
  <si>
    <t>Askim Sparebank</t>
  </si>
  <si>
    <t>NO0010699150</t>
  </si>
  <si>
    <t>NO0010674088</t>
  </si>
  <si>
    <t>Arendal og omegns sparekasse</t>
  </si>
  <si>
    <t>NO0010705148</t>
  </si>
  <si>
    <t>NO0010657083</t>
  </si>
  <si>
    <t>NO0010627599</t>
  </si>
  <si>
    <t>Arendal Fossekompani</t>
  </si>
  <si>
    <t>NO0010650468</t>
  </si>
  <si>
    <t>NO0010621881</t>
  </si>
  <si>
    <t>Aasen Sparebank</t>
  </si>
  <si>
    <t>NO0010701196</t>
  </si>
  <si>
    <t>NO0010691736</t>
  </si>
  <si>
    <t>NO0010685217</t>
  </si>
  <si>
    <t>NO0010668379</t>
  </si>
  <si>
    <t>NO001062141</t>
  </si>
  <si>
    <t>Emisjonsramme</t>
  </si>
  <si>
    <t>Nordic ABM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</si>
</sst>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.00"/>
    <numFmt numFmtId="165" formatCode="0.000"/>
    <numFmt numFmtId="166" formatCode="0.0000000\ %"/>
    <numFmt numFmtId="167" formatCode="_ &quot;kr&quot;\ * #,##0.00_ ;_ &quot;kr&quot;\ * \-#,##0.00_ ;_ &quot;kr&quot;\ * &quot;-&quot;??_ ;_ @_ "/>
    <numFmt numFmtId="168" formatCode="0.0000\ %"/>
    <numFmt numFmtId="169" formatCode="_-[$$-409]* #,##0.00_ ;_-[$$-409]* \-#,##0.00\ ;_-[$$-409]* &quot;-&quot;??_ ;_-@_ "/>
    <numFmt numFmtId="170" formatCode="0.000\ %"/>
    <numFmt numFmtId="171" formatCode="_ * #,##0.00_ [$SEK-143B]_ ;_ * \-#,##0.00\ [$SEK-143B]_ ;_ * &quot;-&quot;??_ [$SEK-143B]_ ;_ @_ "/>
    <numFmt numFmtId="172" formatCode="_-* #,##0_-;\-* #,##0_-;_-* &quot;-&quot;??_-;_-@_-"/>
    <numFmt numFmtId="179" formatCode="_-&quot;kr&quot;\ * #,##0_-;\-&quot;kr&quot;\ * #,##0_-;_-&quot;kr&quot;\ * &quot;-&quot;??_-;_-@_-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Verdana"/>
    </font>
    <font>
      <sz val="12"/>
      <color rgb="FF000000"/>
      <name val="Inherit"/>
    </font>
    <font>
      <sz val="8"/>
      <color rgb="FF000000"/>
      <name val="Verdana"/>
      <family val="2"/>
    </font>
    <font>
      <sz val="8"/>
      <name val="Calibri"/>
      <family val="2"/>
      <scheme val="minor"/>
    </font>
    <font>
      <u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10" fontId="1" fillId="0" borderId="0" xfId="1" applyNumberFormat="1"/>
    <xf numFmtId="10" fontId="0" fillId="0" borderId="0" xfId="2" applyNumberFormat="1" applyFont="1"/>
    <xf numFmtId="2" fontId="1" fillId="0" borderId="0" xfId="1" applyNumberFormat="1"/>
    <xf numFmtId="14" fontId="1" fillId="0" borderId="0" xfId="1" applyNumberFormat="1"/>
    <xf numFmtId="167" fontId="1" fillId="0" borderId="0" xfId="1" applyNumberFormat="1"/>
    <xf numFmtId="0" fontId="1" fillId="0" borderId="0" xfId="1" applyFont="1"/>
    <xf numFmtId="169" fontId="0" fillId="0" borderId="0" xfId="3" applyNumberFormat="1" applyFont="1"/>
    <xf numFmtId="167" fontId="0" fillId="0" borderId="0" xfId="4" applyNumberFormat="1" applyFont="1"/>
    <xf numFmtId="0" fontId="2" fillId="0" borderId="0" xfId="1" applyFont="1"/>
    <xf numFmtId="0" fontId="3" fillId="0" borderId="0" xfId="1" applyFont="1"/>
    <xf numFmtId="164" fontId="3" fillId="0" borderId="0" xfId="1" applyNumberFormat="1" applyFont="1"/>
    <xf numFmtId="10" fontId="3" fillId="0" borderId="0" xfId="1" applyNumberFormat="1" applyFont="1"/>
    <xf numFmtId="0" fontId="3" fillId="0" borderId="0" xfId="1" applyNumberFormat="1" applyFont="1"/>
    <xf numFmtId="10" fontId="3" fillId="0" borderId="0" xfId="2" applyNumberFormat="1" applyFont="1"/>
    <xf numFmtId="43" fontId="3" fillId="0" borderId="0" xfId="3" applyFont="1"/>
    <xf numFmtId="0" fontId="1" fillId="0" borderId="0" xfId="1" applyAlignment="1">
      <alignment horizontal="center"/>
    </xf>
    <xf numFmtId="172" fontId="0" fillId="0" borderId="0" xfId="3" applyNumberFormat="1" applyFont="1"/>
    <xf numFmtId="44" fontId="0" fillId="0" borderId="0" xfId="3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2" fontId="3" fillId="0" borderId="0" xfId="1" applyNumberFormat="1" applyFont="1"/>
    <xf numFmtId="0" fontId="3" fillId="0" borderId="0" xfId="1" applyNumberFormat="1" applyFont="1" applyAlignment="1">
      <alignment horizontal="center"/>
    </xf>
    <xf numFmtId="172" fontId="3" fillId="0" borderId="0" xfId="3" applyNumberFormat="1" applyFont="1" applyAlignment="1">
      <alignment horizontal="center"/>
    </xf>
    <xf numFmtId="43" fontId="3" fillId="0" borderId="0" xfId="5" applyFont="1"/>
    <xf numFmtId="172" fontId="3" fillId="0" borderId="0" xfId="3" applyNumberFormat="1" applyFont="1"/>
    <xf numFmtId="167" fontId="3" fillId="0" borderId="0" xfId="1" applyNumberFormat="1" applyFont="1"/>
    <xf numFmtId="0" fontId="1" fillId="2" borderId="0" xfId="1" applyFill="1"/>
    <xf numFmtId="0" fontId="4" fillId="2" borderId="0" xfId="1" applyFont="1" applyFill="1"/>
    <xf numFmtId="0" fontId="3" fillId="0" borderId="0" xfId="1" applyFont="1" applyAlignment="1">
      <alignment horizontal="center"/>
    </xf>
    <xf numFmtId="164" fontId="1" fillId="0" borderId="0" xfId="1" applyNumberFormat="1" applyFont="1"/>
    <xf numFmtId="10" fontId="1" fillId="0" borderId="0" xfId="1" applyNumberFormat="1" applyFont="1"/>
    <xf numFmtId="14" fontId="1" fillId="0" borderId="0" xfId="1" applyNumberFormat="1" applyFont="1"/>
    <xf numFmtId="0" fontId="1" fillId="0" borderId="0" xfId="1" applyNumberFormat="1" applyFont="1"/>
    <xf numFmtId="43" fontId="1" fillId="0" borderId="0" xfId="3" applyFont="1"/>
    <xf numFmtId="10" fontId="1" fillId="0" borderId="0" xfId="2" applyNumberFormat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67" fontId="1" fillId="0" borderId="0" xfId="1" applyNumberFormat="1" applyFont="1"/>
    <xf numFmtId="166" fontId="1" fillId="0" borderId="0" xfId="3" applyNumberFormat="1" applyFont="1"/>
    <xf numFmtId="2" fontId="1" fillId="0" borderId="0" xfId="1" applyNumberFormat="1" applyFont="1"/>
    <xf numFmtId="165" fontId="1" fillId="0" borderId="0" xfId="1" applyNumberFormat="1" applyFont="1"/>
    <xf numFmtId="168" fontId="1" fillId="0" borderId="0" xfId="2" applyNumberFormat="1" applyFont="1"/>
    <xf numFmtId="171" fontId="1" fillId="0" borderId="0" xfId="3" applyNumberFormat="1" applyFont="1"/>
    <xf numFmtId="170" fontId="1" fillId="0" borderId="0" xfId="2" applyNumberFormat="1" applyFont="1"/>
    <xf numFmtId="169" fontId="1" fillId="0" borderId="0" xfId="3" applyNumberFormat="1" applyFont="1"/>
    <xf numFmtId="169" fontId="1" fillId="0" borderId="0" xfId="1" applyNumberFormat="1" applyFont="1"/>
    <xf numFmtId="164" fontId="1" fillId="0" borderId="0" xfId="3" applyNumberFormat="1" applyFont="1"/>
    <xf numFmtId="167" fontId="1" fillId="0" borderId="0" xfId="4" applyFont="1"/>
    <xf numFmtId="179" fontId="3" fillId="0" borderId="0" xfId="1" applyNumberFormat="1" applyFont="1"/>
    <xf numFmtId="179" fontId="1" fillId="0" borderId="0" xfId="1" applyNumberFormat="1" applyFont="1"/>
    <xf numFmtId="179" fontId="1" fillId="0" borderId="0" xfId="4" applyNumberFormat="1" applyFont="1"/>
    <xf numFmtId="179" fontId="1" fillId="0" borderId="0" xfId="1" applyNumberFormat="1" applyFont="1" applyAlignment="1">
      <alignment horizontal="right"/>
    </xf>
  </cellXfs>
  <cellStyles count="6">
    <cellStyle name="Comma 2" xfId="5"/>
    <cellStyle name="Komma 2" xfId="3"/>
    <cellStyle name="Normal" xfId="0" builtinId="0"/>
    <cellStyle name="Normal 2" xfId="1"/>
    <cellStyle name="Prosent 2" xfId="2"/>
    <cellStyle name="Valuta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400050</xdr:colOff>
      <xdr:row>5</xdr:row>
      <xdr:rowOff>171450</xdr:rowOff>
    </xdr:from>
    <xdr:ext cx="184666" cy="261610"/>
    <xdr:sp macro="" textlink="">
      <xdr:nvSpPr>
        <xdr:cNvPr id="2" name="TextBox 1"/>
        <xdr:cNvSpPr txBox="1"/>
      </xdr:nvSpPr>
      <xdr:spPr>
        <a:xfrm>
          <a:off x="43979193" y="120559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512330</xdr:colOff>
      <xdr:row>163</xdr:row>
      <xdr:rowOff>187324</xdr:rowOff>
    </xdr:from>
    <xdr:ext cx="2505075" cy="1762126"/>
    <xdr:sp macro="" textlink="">
      <xdr:nvSpPr>
        <xdr:cNvPr id="3" name="TextBox 2"/>
        <xdr:cNvSpPr txBox="1"/>
      </xdr:nvSpPr>
      <xdr:spPr>
        <a:xfrm>
          <a:off x="1185430" y="29156024"/>
          <a:ext cx="2505075" cy="1762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abSelected="1" workbookViewId="0">
      <selection activeCell="D32" sqref="D32"/>
    </sheetView>
  </sheetViews>
  <sheetFormatPr baseColWidth="10" defaultColWidth="8.83203125" defaultRowHeight="14" x14ac:dyDescent="0"/>
  <cols>
    <col min="1" max="1" width="21.6640625" style="7" bestFit="1" customWidth="1"/>
    <col min="2" max="2" width="12.33203125" style="7" bestFit="1" customWidth="1"/>
    <col min="3" max="3" width="28.5" style="7" bestFit="1" customWidth="1"/>
    <col min="4" max="4" width="20.6640625" style="52" customWidth="1"/>
    <col min="5" max="5" width="17.33203125" style="32" bestFit="1" customWidth="1"/>
    <col min="6" max="6" width="20.33203125" style="7" bestFit="1" customWidth="1"/>
    <col min="7" max="7" width="27.1640625" style="7" bestFit="1" customWidth="1"/>
    <col min="8" max="8" width="16.83203125" style="36" bestFit="1" customWidth="1"/>
    <col min="9" max="9" width="12" style="36" hidden="1" customWidth="1"/>
    <col min="10" max="10" width="19.83203125" style="36" hidden="1" customWidth="1"/>
    <col min="11" max="11" width="22" style="36" hidden="1" customWidth="1"/>
    <col min="12" max="12" width="11.6640625" style="37" hidden="1" customWidth="1"/>
    <col min="13" max="13" width="13.6640625" style="32" bestFit="1" customWidth="1"/>
    <col min="14" max="14" width="11.1640625" style="33" bestFit="1" customWidth="1"/>
    <col min="15" max="15" width="8.33203125" style="35" bestFit="1" customWidth="1"/>
    <col min="16" max="16" width="10.6640625" style="33" bestFit="1" customWidth="1"/>
    <col min="17" max="17" width="12.83203125" style="32" bestFit="1" customWidth="1"/>
    <col min="18" max="18" width="11.83203125" style="7" bestFit="1" customWidth="1"/>
    <col min="19" max="19" width="12.6640625" style="7" bestFit="1" customWidth="1"/>
    <col min="20" max="20" width="11.33203125" style="7" bestFit="1" customWidth="1"/>
    <col min="21" max="21" width="14.1640625" style="7" bestFit="1" customWidth="1"/>
    <col min="22" max="22" width="14" style="7" bestFit="1" customWidth="1"/>
    <col min="23" max="23" width="12.83203125" style="7" hidden="1" customWidth="1"/>
    <col min="24" max="24" width="11.83203125" style="7" bestFit="1" customWidth="1"/>
    <col min="25" max="25" width="12.5" style="7" bestFit="1" customWidth="1"/>
    <col min="26" max="26" width="7.83203125" style="7" bestFit="1" customWidth="1"/>
    <col min="27" max="27" width="6.83203125" style="7" bestFit="1" customWidth="1"/>
    <col min="28" max="28" width="8" style="7" bestFit="1" customWidth="1"/>
    <col min="29" max="29" width="20.83203125" style="7" bestFit="1" customWidth="1"/>
    <col min="30" max="30" width="14.6640625" style="7" bestFit="1" customWidth="1"/>
    <col min="31" max="31" width="22" style="7" bestFit="1" customWidth="1"/>
    <col min="32" max="32" width="15.33203125" style="7" bestFit="1" customWidth="1"/>
    <col min="33" max="33" width="9.5" style="7" bestFit="1" customWidth="1"/>
    <col min="34" max="34" width="12" style="7" bestFit="1" customWidth="1"/>
    <col min="35" max="35" width="11.6640625" style="7" bestFit="1" customWidth="1"/>
    <col min="36" max="36" width="83.5" style="7" bestFit="1" customWidth="1"/>
    <col min="37" max="16384" width="8.83203125" style="7"/>
  </cols>
  <sheetData>
    <row r="1" spans="1:36">
      <c r="A1" s="11" t="s">
        <v>334</v>
      </c>
      <c r="B1" s="11"/>
      <c r="D1" s="51"/>
      <c r="E1" s="12"/>
      <c r="G1" s="12"/>
      <c r="H1" s="16"/>
      <c r="I1" s="16"/>
      <c r="J1" s="16"/>
      <c r="K1" s="16"/>
      <c r="L1" s="15"/>
      <c r="O1" s="33"/>
    </row>
    <row r="2" spans="1:36">
      <c r="B2" s="34"/>
      <c r="G2" s="35"/>
      <c r="Y2" s="38" t="s">
        <v>333</v>
      </c>
      <c r="Z2" s="38"/>
      <c r="AA2" s="38"/>
      <c r="AB2" s="38"/>
      <c r="AC2" s="38"/>
      <c r="AD2" s="38"/>
      <c r="AE2" s="38"/>
      <c r="AF2" s="38"/>
      <c r="AG2" s="39"/>
    </row>
    <row r="3" spans="1:36">
      <c r="A3" s="11" t="s">
        <v>332</v>
      </c>
      <c r="B3" s="11" t="s">
        <v>331</v>
      </c>
      <c r="C3" s="11" t="s">
        <v>7</v>
      </c>
      <c r="D3" s="51" t="s">
        <v>330</v>
      </c>
      <c r="E3" s="12" t="s">
        <v>329</v>
      </c>
      <c r="F3" s="11" t="s">
        <v>328</v>
      </c>
      <c r="G3" s="11" t="s">
        <v>327</v>
      </c>
      <c r="H3" s="16" t="s">
        <v>326</v>
      </c>
      <c r="I3" s="16" t="s">
        <v>325</v>
      </c>
      <c r="J3" s="16" t="s">
        <v>324</v>
      </c>
      <c r="K3" s="16" t="s">
        <v>323</v>
      </c>
      <c r="L3" s="15" t="s">
        <v>322</v>
      </c>
      <c r="M3" s="12" t="s">
        <v>321</v>
      </c>
      <c r="N3" s="13" t="s">
        <v>320</v>
      </c>
      <c r="O3" s="14" t="s">
        <v>319</v>
      </c>
      <c r="P3" s="13" t="s">
        <v>318</v>
      </c>
      <c r="Q3" s="12" t="s">
        <v>317</v>
      </c>
      <c r="R3" s="11" t="s">
        <v>316</v>
      </c>
      <c r="S3" s="11" t="s">
        <v>315</v>
      </c>
      <c r="T3" s="11" t="s">
        <v>314</v>
      </c>
      <c r="U3" s="11" t="s">
        <v>313</v>
      </c>
      <c r="V3" s="11" t="s">
        <v>312</v>
      </c>
      <c r="W3" s="11" t="s">
        <v>311</v>
      </c>
      <c r="X3" s="11" t="s">
        <v>98</v>
      </c>
      <c r="Y3" s="11" t="s">
        <v>310</v>
      </c>
      <c r="Z3" s="11" t="s">
        <v>309</v>
      </c>
      <c r="AA3" s="11" t="s">
        <v>308</v>
      </c>
      <c r="AB3" s="11" t="s">
        <v>307</v>
      </c>
      <c r="AC3" s="11" t="s">
        <v>306</v>
      </c>
      <c r="AD3" s="11" t="s">
        <v>305</v>
      </c>
      <c r="AE3" s="11" t="s">
        <v>304</v>
      </c>
      <c r="AF3" s="11" t="s">
        <v>303</v>
      </c>
      <c r="AG3" s="11" t="s">
        <v>302</v>
      </c>
      <c r="AH3" s="11" t="s">
        <v>301</v>
      </c>
      <c r="AI3" s="11" t="s">
        <v>300</v>
      </c>
      <c r="AJ3" s="11" t="s">
        <v>299</v>
      </c>
    </row>
    <row r="4" spans="1:36">
      <c r="A4" s="7" t="s">
        <v>298</v>
      </c>
      <c r="B4" s="34">
        <v>40723</v>
      </c>
      <c r="C4" s="7" t="s">
        <v>47</v>
      </c>
      <c r="D4" s="52">
        <v>216000000</v>
      </c>
      <c r="E4" s="40" t="s">
        <v>19</v>
      </c>
      <c r="F4" s="7" t="s">
        <v>18</v>
      </c>
      <c r="G4" s="7" t="s">
        <v>33</v>
      </c>
      <c r="H4" s="36">
        <v>1000000000</v>
      </c>
      <c r="J4" s="36">
        <f>I4/(H4/M4)</f>
        <v>0</v>
      </c>
      <c r="K4" s="41">
        <f>RATE(S4*4,N4/4*(Q4+J4),-M4,Q4+J4)</f>
        <v>8.4750000000000016E-3</v>
      </c>
      <c r="L4" s="37">
        <f>K4*4</f>
        <v>3.3900000000000007E-2</v>
      </c>
      <c r="M4" s="32">
        <v>500000</v>
      </c>
      <c r="N4" s="33">
        <v>3.39E-2</v>
      </c>
      <c r="O4" s="35" t="s">
        <v>4</v>
      </c>
      <c r="P4" s="33">
        <v>5.0000000000000001E-3</v>
      </c>
      <c r="Q4" s="32">
        <v>500000</v>
      </c>
      <c r="R4" s="34">
        <v>42550</v>
      </c>
      <c r="S4" s="42">
        <f>(R4-B4)/365.2421875</f>
        <v>5.0021603815961155</v>
      </c>
      <c r="T4" s="34">
        <v>42915</v>
      </c>
      <c r="U4" s="7" t="s">
        <v>3</v>
      </c>
      <c r="V4" s="7">
        <v>4</v>
      </c>
      <c r="W4" s="43"/>
      <c r="X4" s="7" t="s">
        <v>2</v>
      </c>
      <c r="Y4" s="7" t="s">
        <v>46</v>
      </c>
      <c r="AH4" s="7" t="s">
        <v>46</v>
      </c>
      <c r="AI4" s="7" t="s">
        <v>22</v>
      </c>
    </row>
    <row r="5" spans="1:36">
      <c r="A5" s="7" t="s">
        <v>297</v>
      </c>
      <c r="B5" s="34">
        <v>40620</v>
      </c>
      <c r="C5" s="7" t="s">
        <v>26</v>
      </c>
      <c r="D5" s="52">
        <v>15800000000</v>
      </c>
      <c r="E5" s="40" t="s">
        <v>7</v>
      </c>
      <c r="F5" s="7" t="s">
        <v>25</v>
      </c>
      <c r="G5" s="7" t="s">
        <v>5</v>
      </c>
      <c r="H5" s="36">
        <v>750000000</v>
      </c>
      <c r="I5" s="36">
        <v>75000</v>
      </c>
      <c r="J5" s="36">
        <f>I5/(H5/M5)</f>
        <v>50</v>
      </c>
      <c r="K5" s="41">
        <f>RATE(S5*4,N5/4*(Q5+J5),-M5,Q5+J5)</f>
        <v>8.8054724040767113E-3</v>
      </c>
      <c r="L5" s="37">
        <f>K5*4</f>
        <v>3.5221889616306845E-2</v>
      </c>
      <c r="M5" s="32">
        <v>500000</v>
      </c>
      <c r="N5" s="33">
        <v>3.5200000000000002E-2</v>
      </c>
      <c r="O5" s="35" t="s">
        <v>4</v>
      </c>
      <c r="P5" s="33">
        <v>9.4999999999999998E-3</v>
      </c>
      <c r="Q5" s="32">
        <v>500000</v>
      </c>
      <c r="R5" s="34">
        <v>42447</v>
      </c>
      <c r="S5" s="42">
        <f>(R5-B5)/365.2421875</f>
        <v>5.0021603815961155</v>
      </c>
      <c r="U5" s="7" t="s">
        <v>3</v>
      </c>
      <c r="V5" s="7">
        <v>4</v>
      </c>
      <c r="W5" s="43"/>
      <c r="X5" s="7" t="s">
        <v>2</v>
      </c>
      <c r="AB5" s="7" t="s">
        <v>24</v>
      </c>
      <c r="AC5" s="7" t="s">
        <v>24</v>
      </c>
      <c r="AH5" s="7" t="s">
        <v>23</v>
      </c>
      <c r="AI5" s="7" t="s">
        <v>22</v>
      </c>
    </row>
    <row r="6" spans="1:36">
      <c r="A6" s="7" t="s">
        <v>296</v>
      </c>
      <c r="B6" s="34">
        <v>40947</v>
      </c>
      <c r="C6" s="7" t="s">
        <v>62</v>
      </c>
      <c r="D6" s="52">
        <f>449600000*5.92</f>
        <v>2661632000</v>
      </c>
      <c r="E6" s="40" t="s">
        <v>7</v>
      </c>
      <c r="F6" s="7" t="s">
        <v>53</v>
      </c>
      <c r="G6" s="7" t="s">
        <v>5</v>
      </c>
      <c r="H6" s="36">
        <v>500000000</v>
      </c>
      <c r="I6" s="36">
        <v>40000</v>
      </c>
      <c r="J6" s="36">
        <f>I6/(H6/M6)</f>
        <v>40</v>
      </c>
      <c r="K6" s="41">
        <f>RATE(S6*4,N6/4*(Q6+J6),-M6,Q6+J6)</f>
        <v>1.6029704990819075E-2</v>
      </c>
      <c r="L6" s="37">
        <f>K6*4</f>
        <v>6.41188199632763E-2</v>
      </c>
      <c r="M6" s="32">
        <v>500000</v>
      </c>
      <c r="N6" s="33">
        <v>6.4100000000000004E-2</v>
      </c>
      <c r="O6" s="35" t="s">
        <v>4</v>
      </c>
      <c r="P6" s="33">
        <v>3.7499999999999999E-2</v>
      </c>
      <c r="Q6" s="32">
        <v>500000</v>
      </c>
      <c r="R6" s="34">
        <v>42774</v>
      </c>
      <c r="S6" s="42">
        <f>(R6-B6)/365.2421875</f>
        <v>5.0021603815961155</v>
      </c>
      <c r="U6" s="7" t="s">
        <v>3</v>
      </c>
      <c r="V6" s="7">
        <v>4</v>
      </c>
      <c r="W6" s="43"/>
      <c r="X6" s="7" t="s">
        <v>2</v>
      </c>
      <c r="AB6" s="7" t="s">
        <v>11</v>
      </c>
      <c r="AH6" s="7" t="s">
        <v>10</v>
      </c>
      <c r="AI6" s="7" t="s">
        <v>22</v>
      </c>
    </row>
    <row r="7" spans="1:36">
      <c r="A7" s="7" t="s">
        <v>295</v>
      </c>
      <c r="B7" s="34">
        <v>40969</v>
      </c>
      <c r="C7" s="7" t="s">
        <v>148</v>
      </c>
      <c r="D7" s="52">
        <v>14300000000</v>
      </c>
      <c r="E7" s="40" t="s">
        <v>7</v>
      </c>
      <c r="F7" s="7" t="s">
        <v>147</v>
      </c>
      <c r="G7" s="7" t="s">
        <v>5</v>
      </c>
      <c r="H7" s="36">
        <v>750000000</v>
      </c>
      <c r="I7" s="36">
        <v>35000</v>
      </c>
      <c r="J7" s="36">
        <f>I7/(H7/M7)</f>
        <v>23.333333333333332</v>
      </c>
      <c r="K7" s="41">
        <f>RATE(S7*4,N7/4*(Q7+J7),-M7,Q7+J7)</f>
        <v>1.1952637327636453E-2</v>
      </c>
      <c r="L7" s="37">
        <f>K7*4</f>
        <v>4.7810549310545812E-2</v>
      </c>
      <c r="M7" s="32">
        <v>500000</v>
      </c>
      <c r="N7" s="33">
        <v>4.7800000000000002E-2</v>
      </c>
      <c r="O7" s="35" t="s">
        <v>4</v>
      </c>
      <c r="P7" s="33">
        <v>2.1499999999999998E-2</v>
      </c>
      <c r="Q7" s="32">
        <v>500000</v>
      </c>
      <c r="R7" s="34">
        <v>42795</v>
      </c>
      <c r="S7" s="42">
        <f>(R7-B7)/365.2421875</f>
        <v>4.9994224722465832</v>
      </c>
      <c r="U7" s="7" t="s">
        <v>3</v>
      </c>
      <c r="V7" s="7">
        <v>4</v>
      </c>
      <c r="W7" s="43"/>
      <c r="X7" s="7" t="s">
        <v>2</v>
      </c>
      <c r="AB7" s="7" t="s">
        <v>146</v>
      </c>
      <c r="AH7" s="7" t="s">
        <v>145</v>
      </c>
      <c r="AI7" s="7" t="s">
        <v>22</v>
      </c>
    </row>
    <row r="8" spans="1:36">
      <c r="A8" s="7" t="s">
        <v>294</v>
      </c>
      <c r="B8" s="34">
        <v>40969</v>
      </c>
      <c r="C8" s="7" t="s">
        <v>148</v>
      </c>
      <c r="D8" s="52">
        <v>14300000000</v>
      </c>
      <c r="E8" s="40" t="s">
        <v>7</v>
      </c>
      <c r="F8" s="7" t="s">
        <v>147</v>
      </c>
      <c r="G8" s="7" t="s">
        <v>17</v>
      </c>
      <c r="H8" s="36">
        <v>750000000</v>
      </c>
      <c r="I8" s="36">
        <v>30000</v>
      </c>
      <c r="J8" s="36">
        <f>I8/(H8/M8)</f>
        <v>20</v>
      </c>
      <c r="K8" s="41">
        <f>RATE(S8*4,N8/4*(Q8+J8),-M8,Q8+J8)</f>
        <v>1.4751754539667398E-2</v>
      </c>
      <c r="L8" s="37">
        <f>K8*4</f>
        <v>5.9007018158669593E-2</v>
      </c>
      <c r="M8" s="32">
        <v>500000</v>
      </c>
      <c r="N8" s="33">
        <v>5.8999999999999997E-2</v>
      </c>
      <c r="Q8" s="32">
        <v>500000</v>
      </c>
      <c r="R8" s="34">
        <v>43525</v>
      </c>
      <c r="S8" s="42">
        <f>(R8-B8)/365.2421875</f>
        <v>6.9980962974054028</v>
      </c>
      <c r="U8" s="7" t="s">
        <v>16</v>
      </c>
      <c r="V8" s="7">
        <v>1</v>
      </c>
      <c r="W8" s="43">
        <f>MDURATION(B8,R8,N8,L8,V8)</f>
        <v>5.6022178519293782</v>
      </c>
      <c r="X8" s="7" t="s">
        <v>2</v>
      </c>
      <c r="AB8" s="7" t="s">
        <v>146</v>
      </c>
      <c r="AH8" s="7" t="s">
        <v>145</v>
      </c>
      <c r="AI8" s="7" t="s">
        <v>22</v>
      </c>
    </row>
    <row r="9" spans="1:36">
      <c r="A9" s="7" t="s">
        <v>293</v>
      </c>
      <c r="B9" s="34">
        <v>40938</v>
      </c>
      <c r="C9" s="7" t="s">
        <v>13</v>
      </c>
      <c r="D9" s="52">
        <v>4900000000</v>
      </c>
      <c r="E9" s="40" t="s">
        <v>7</v>
      </c>
      <c r="F9" s="7" t="s">
        <v>12</v>
      </c>
      <c r="G9" s="7" t="s">
        <v>5</v>
      </c>
      <c r="H9" s="36">
        <v>500000000</v>
      </c>
      <c r="I9" s="36">
        <v>30000</v>
      </c>
      <c r="J9" s="36">
        <f>I9/(H9/M9)</f>
        <v>30</v>
      </c>
      <c r="K9" s="41">
        <f>RATE(S9*4,N9/4*(Q9+J9),-M9,Q9+J9)</f>
        <v>1.9352795376226722E-2</v>
      </c>
      <c r="L9" s="37">
        <f>K9*4</f>
        <v>7.741118150490689E-2</v>
      </c>
      <c r="M9" s="32">
        <v>500000</v>
      </c>
      <c r="N9" s="33">
        <v>7.7399999999999997E-2</v>
      </c>
      <c r="O9" s="35" t="s">
        <v>4</v>
      </c>
      <c r="P9" s="33">
        <v>0.05</v>
      </c>
      <c r="Q9" s="32">
        <v>500000</v>
      </c>
      <c r="R9" s="34">
        <v>43495</v>
      </c>
      <c r="S9" s="42">
        <f>(R9-B9)/365.2421875</f>
        <v>7.0008342067549361</v>
      </c>
      <c r="U9" s="7" t="s">
        <v>3</v>
      </c>
      <c r="V9" s="7">
        <v>4</v>
      </c>
      <c r="W9" s="43"/>
      <c r="X9" s="7" t="s">
        <v>2</v>
      </c>
      <c r="AB9" s="7" t="s">
        <v>11</v>
      </c>
      <c r="AH9" s="7" t="s">
        <v>10</v>
      </c>
      <c r="AI9" s="7" t="s">
        <v>22</v>
      </c>
    </row>
    <row r="10" spans="1:36">
      <c r="A10" s="7" t="s">
        <v>292</v>
      </c>
      <c r="B10" s="34">
        <v>40864</v>
      </c>
      <c r="C10" s="7" t="s">
        <v>159</v>
      </c>
      <c r="D10" s="53">
        <f>522000000*5.92</f>
        <v>3090240000</v>
      </c>
      <c r="E10" s="40" t="s">
        <v>7</v>
      </c>
      <c r="F10" s="7" t="s">
        <v>53</v>
      </c>
      <c r="G10" s="7" t="s">
        <v>5</v>
      </c>
      <c r="H10" s="36">
        <v>1400000000</v>
      </c>
      <c r="J10" s="36">
        <f>I10/(H10/M10)</f>
        <v>0</v>
      </c>
      <c r="K10" s="41">
        <f>RATE(S10*4,N10/4*(Q10+J10),-M10,Q10+J10)</f>
        <v>3.2825000000000014E-2</v>
      </c>
      <c r="L10" s="37">
        <f>K10*4</f>
        <v>0.13130000000000006</v>
      </c>
      <c r="M10" s="32">
        <v>500000</v>
      </c>
      <c r="N10" s="33">
        <v>0.1313</v>
      </c>
      <c r="O10" s="35" t="s">
        <v>291</v>
      </c>
      <c r="P10" s="33">
        <v>0.1</v>
      </c>
      <c r="Q10" s="32">
        <v>500000</v>
      </c>
      <c r="R10" s="34">
        <v>42691</v>
      </c>
      <c r="S10" s="42">
        <f>(R10-B10)/365.2421875</f>
        <v>5.0021603815961155</v>
      </c>
      <c r="U10" s="7" t="s">
        <v>290</v>
      </c>
      <c r="V10" s="7">
        <v>2</v>
      </c>
      <c r="W10" s="43"/>
      <c r="X10" s="7" t="s">
        <v>56</v>
      </c>
      <c r="Y10" s="7" t="s">
        <v>65</v>
      </c>
      <c r="AH10" s="7" t="s">
        <v>65</v>
      </c>
      <c r="AI10" s="7" t="s">
        <v>91</v>
      </c>
    </row>
    <row r="11" spans="1:36">
      <c r="A11" s="7" t="s">
        <v>289</v>
      </c>
      <c r="B11" s="34">
        <v>40962</v>
      </c>
      <c r="C11" s="7" t="s">
        <v>166</v>
      </c>
      <c r="D11" s="52">
        <v>5300000000</v>
      </c>
      <c r="E11" s="40" t="s">
        <v>7</v>
      </c>
      <c r="F11" s="7" t="s">
        <v>25</v>
      </c>
      <c r="G11" s="7" t="s">
        <v>5</v>
      </c>
      <c r="H11" s="36">
        <v>500000000</v>
      </c>
      <c r="I11" s="36">
        <v>65000</v>
      </c>
      <c r="J11" s="36">
        <f>I11/(H11/M11)</f>
        <v>65</v>
      </c>
      <c r="K11" s="41">
        <f>RATE(S11*4,N11/4*(Q11+J11),-M11,Q11+J11)</f>
        <v>1.043223163043917E-2</v>
      </c>
      <c r="L11" s="37">
        <f>K11*4</f>
        <v>4.1728926521756679E-2</v>
      </c>
      <c r="M11" s="32">
        <v>500000</v>
      </c>
      <c r="N11" s="33">
        <v>4.1700000000000001E-2</v>
      </c>
      <c r="O11" s="35" t="s">
        <v>4</v>
      </c>
      <c r="P11" s="33">
        <v>1.4999999999999999E-2</v>
      </c>
      <c r="Q11" s="32">
        <v>500000</v>
      </c>
      <c r="R11" s="34">
        <v>42789</v>
      </c>
      <c r="S11" s="42">
        <f>(R11-B11)/365.2421875</f>
        <v>5.0021603815961155</v>
      </c>
      <c r="U11" s="7" t="s">
        <v>3</v>
      </c>
      <c r="V11" s="7">
        <v>4</v>
      </c>
      <c r="W11" s="43"/>
      <c r="X11" s="7" t="s">
        <v>2</v>
      </c>
    </row>
    <row r="12" spans="1:36">
      <c r="A12" s="7" t="s">
        <v>288</v>
      </c>
      <c r="B12" s="34">
        <v>40984</v>
      </c>
      <c r="C12" s="7" t="s">
        <v>13</v>
      </c>
      <c r="D12" s="52">
        <v>4900000000</v>
      </c>
      <c r="E12" s="40" t="s">
        <v>7</v>
      </c>
      <c r="F12" s="7" t="s">
        <v>12</v>
      </c>
      <c r="G12" s="7" t="s">
        <v>5</v>
      </c>
      <c r="H12" s="36">
        <v>500000000</v>
      </c>
      <c r="I12" s="36">
        <v>75000</v>
      </c>
      <c r="J12" s="36">
        <f>I12/(H12/M12)</f>
        <v>75</v>
      </c>
      <c r="K12" s="41">
        <f>RATE(S12*4,N12/4*(Q12+J12),-M12,Q12+J12)</f>
        <v>1.5633791091069205E-2</v>
      </c>
      <c r="L12" s="37">
        <f>K12*4</f>
        <v>6.2535164364276821E-2</v>
      </c>
      <c r="M12" s="32">
        <v>500000</v>
      </c>
      <c r="N12" s="33">
        <v>6.25E-2</v>
      </c>
      <c r="O12" s="35" t="s">
        <v>4</v>
      </c>
      <c r="P12" s="33">
        <v>0.04</v>
      </c>
      <c r="Q12" s="32">
        <v>500000</v>
      </c>
      <c r="R12" s="34">
        <v>42810</v>
      </c>
      <c r="S12" s="42">
        <f>(R12-B12)/365.2421875</f>
        <v>4.9994224722465832</v>
      </c>
      <c r="U12" s="7" t="s">
        <v>3</v>
      </c>
      <c r="V12" s="7">
        <v>4</v>
      </c>
      <c r="W12" s="43"/>
      <c r="X12" s="7" t="s">
        <v>2</v>
      </c>
      <c r="AB12" s="7" t="s">
        <v>11</v>
      </c>
      <c r="AH12" s="7" t="s">
        <v>10</v>
      </c>
      <c r="AI12" s="7" t="s">
        <v>22</v>
      </c>
    </row>
    <row r="13" spans="1:36">
      <c r="A13" s="10" t="s">
        <v>287</v>
      </c>
      <c r="B13" s="34">
        <v>40946</v>
      </c>
      <c r="C13" s="7" t="s">
        <v>230</v>
      </c>
      <c r="D13" s="52">
        <v>6500000000</v>
      </c>
      <c r="E13" s="40" t="s">
        <v>7</v>
      </c>
      <c r="F13" s="7" t="s">
        <v>53</v>
      </c>
      <c r="G13" s="7" t="s">
        <v>5</v>
      </c>
      <c r="H13" s="36">
        <v>700000000</v>
      </c>
      <c r="J13" s="36">
        <f>I13/(H13/M13)</f>
        <v>0</v>
      </c>
      <c r="K13" s="41">
        <f>RATE(S13*4,N13/4*(Q13+J13),-M13,Q13+J13)</f>
        <v>2.4775000000000699E-2</v>
      </c>
      <c r="L13" s="37">
        <f>K13*4</f>
        <v>9.9100000000002797E-2</v>
      </c>
      <c r="M13" s="32">
        <v>500000</v>
      </c>
      <c r="N13" s="33">
        <v>9.9099999999999994E-2</v>
      </c>
      <c r="O13" s="35" t="s">
        <v>4</v>
      </c>
      <c r="P13" s="33">
        <v>7.2499999999999995E-2</v>
      </c>
      <c r="Q13" s="32">
        <v>500000</v>
      </c>
      <c r="R13" s="34">
        <v>42773</v>
      </c>
      <c r="S13" s="42">
        <f>(R13-B13)/365.2421875</f>
        <v>5.0021603815961155</v>
      </c>
      <c r="U13" s="7" t="s">
        <v>3</v>
      </c>
      <c r="V13" s="7">
        <v>4</v>
      </c>
      <c r="W13" s="43"/>
      <c r="X13" s="7" t="s">
        <v>2</v>
      </c>
      <c r="AD13" s="7" t="s">
        <v>52</v>
      </c>
      <c r="AH13" s="7" t="s">
        <v>51</v>
      </c>
      <c r="AI13" s="7" t="s">
        <v>22</v>
      </c>
    </row>
    <row r="14" spans="1:36">
      <c r="A14" s="7" t="s">
        <v>286</v>
      </c>
      <c r="B14" s="34">
        <v>40980</v>
      </c>
      <c r="C14" s="7" t="s">
        <v>8</v>
      </c>
      <c r="D14" s="52">
        <v>3200000000</v>
      </c>
      <c r="E14" s="40" t="s">
        <v>7</v>
      </c>
      <c r="F14" s="7" t="s">
        <v>6</v>
      </c>
      <c r="G14" s="7" t="s">
        <v>5</v>
      </c>
      <c r="H14" s="36">
        <v>300000000</v>
      </c>
      <c r="I14" s="36">
        <v>70000</v>
      </c>
      <c r="J14" s="36">
        <f>I14/(H14/M14)</f>
        <v>116.66666666666667</v>
      </c>
      <c r="K14" s="41">
        <f>RATE(S14*4,N14/4*(Q14+J14),-M14,Q14+J14)</f>
        <v>1.7746767610894897E-2</v>
      </c>
      <c r="L14" s="37">
        <f>K14*4</f>
        <v>7.0987070443579589E-2</v>
      </c>
      <c r="M14" s="32">
        <v>500000</v>
      </c>
      <c r="N14" s="33">
        <f>P14+2.59%</f>
        <v>7.0899999999999991E-2</v>
      </c>
      <c r="O14" s="35" t="s">
        <v>4</v>
      </c>
      <c r="P14" s="33">
        <v>4.4999999999999998E-2</v>
      </c>
      <c r="Q14" s="32">
        <v>500000</v>
      </c>
      <c r="R14" s="34">
        <v>42075</v>
      </c>
      <c r="S14" s="42">
        <f>(R14-B14)/365.2421875</f>
        <v>2.9980107377382303</v>
      </c>
      <c r="U14" s="7" t="s">
        <v>3</v>
      </c>
      <c r="V14" s="7">
        <v>4</v>
      </c>
      <c r="W14" s="43"/>
      <c r="X14" s="7" t="s">
        <v>2</v>
      </c>
      <c r="AB14" s="7" t="s">
        <v>1</v>
      </c>
      <c r="AH14" s="7" t="s">
        <v>0</v>
      </c>
      <c r="AI14" s="7" t="s">
        <v>22</v>
      </c>
    </row>
    <row r="15" spans="1:36">
      <c r="A15" s="7" t="s">
        <v>285</v>
      </c>
      <c r="B15" s="34">
        <v>40996</v>
      </c>
      <c r="C15" s="7" t="s">
        <v>47</v>
      </c>
      <c r="D15" s="52">
        <v>416000000</v>
      </c>
      <c r="E15" s="40" t="s">
        <v>19</v>
      </c>
      <c r="F15" s="7" t="s">
        <v>18</v>
      </c>
      <c r="G15" s="7" t="s">
        <v>33</v>
      </c>
      <c r="H15" s="36">
        <v>1000000000</v>
      </c>
      <c r="I15" s="36">
        <v>75000</v>
      </c>
      <c r="J15" s="36">
        <f>I15/(H15/M15)</f>
        <v>37.5</v>
      </c>
      <c r="K15" s="41">
        <f>RATE(S15*4,N15/4*(Q15+J15),-M15,Q15+J15)</f>
        <v>7.2290412647726971E-3</v>
      </c>
      <c r="L15" s="37">
        <f>K15*4</f>
        <v>2.8916165059090788E-2</v>
      </c>
      <c r="M15" s="32">
        <v>500000</v>
      </c>
      <c r="N15" s="33">
        <f>P15+2.24%</f>
        <v>2.8900000000000002E-2</v>
      </c>
      <c r="O15" s="35" t="s">
        <v>4</v>
      </c>
      <c r="P15" s="33">
        <v>6.4999999999999997E-3</v>
      </c>
      <c r="Q15" s="32">
        <v>500000</v>
      </c>
      <c r="R15" s="34">
        <v>42822</v>
      </c>
      <c r="S15" s="42">
        <f>(R15-B15)/365.2421875</f>
        <v>4.9994224722465832</v>
      </c>
      <c r="T15" s="34">
        <v>43187</v>
      </c>
      <c r="U15" s="7" t="s">
        <v>3</v>
      </c>
      <c r="V15" s="7">
        <v>4</v>
      </c>
      <c r="W15" s="43"/>
      <c r="X15" s="7" t="s">
        <v>2</v>
      </c>
      <c r="Y15" s="7" t="s">
        <v>46</v>
      </c>
      <c r="AH15" s="7" t="s">
        <v>46</v>
      </c>
      <c r="AI15" s="7" t="s">
        <v>22</v>
      </c>
    </row>
    <row r="16" spans="1:36">
      <c r="A16" s="7" t="s">
        <v>284</v>
      </c>
      <c r="B16" s="34">
        <v>40987</v>
      </c>
      <c r="C16" s="7" t="s">
        <v>242</v>
      </c>
      <c r="D16" s="52">
        <f>2000000000*5.92</f>
        <v>11840000000</v>
      </c>
      <c r="E16" s="40" t="s">
        <v>7</v>
      </c>
      <c r="F16" s="7" t="s">
        <v>12</v>
      </c>
      <c r="G16" s="7" t="s">
        <v>5</v>
      </c>
      <c r="H16" s="36">
        <v>1000000000</v>
      </c>
      <c r="I16" s="36">
        <v>75000</v>
      </c>
      <c r="J16" s="36">
        <f>I16/(H16/M16)</f>
        <v>37.5</v>
      </c>
      <c r="K16" s="41">
        <f>RATE(S16*4,N16/4*(Q16+J16),-M16,Q16+J16)</f>
        <v>1.5206888514534264E-2</v>
      </c>
      <c r="L16" s="37">
        <f>K16*4</f>
        <v>6.0827554058137057E-2</v>
      </c>
      <c r="M16" s="32">
        <v>500000</v>
      </c>
      <c r="N16" s="33">
        <v>6.08E-2</v>
      </c>
      <c r="O16" s="35" t="s">
        <v>4</v>
      </c>
      <c r="P16" s="33">
        <v>3.7499999999999999E-2</v>
      </c>
      <c r="Q16" s="32">
        <v>500000</v>
      </c>
      <c r="R16" s="34">
        <v>42082</v>
      </c>
      <c r="S16" s="42">
        <f>(R16-B16)/365.2421875</f>
        <v>2.9980107377382303</v>
      </c>
      <c r="U16" s="7" t="s">
        <v>3</v>
      </c>
      <c r="V16" s="7">
        <v>4</v>
      </c>
      <c r="W16" s="43"/>
      <c r="X16" s="7" t="s">
        <v>28</v>
      </c>
      <c r="AF16" s="7" t="s">
        <v>1</v>
      </c>
      <c r="AH16" s="7" t="s">
        <v>0</v>
      </c>
      <c r="AI16" s="7" t="s">
        <v>97</v>
      </c>
    </row>
    <row r="17" spans="1:36">
      <c r="A17" s="7" t="s">
        <v>283</v>
      </c>
      <c r="B17" s="34">
        <v>40987</v>
      </c>
      <c r="C17" s="7" t="s">
        <v>242</v>
      </c>
      <c r="D17" s="52">
        <f>2000000000*5.92</f>
        <v>11840000000</v>
      </c>
      <c r="E17" s="40" t="s">
        <v>7</v>
      </c>
      <c r="F17" s="7" t="s">
        <v>12</v>
      </c>
      <c r="G17" s="7" t="s">
        <v>5</v>
      </c>
      <c r="H17" s="36">
        <v>1000000000</v>
      </c>
      <c r="I17" s="36">
        <v>70000</v>
      </c>
      <c r="J17" s="36">
        <f>I17/(H17/M17)</f>
        <v>35</v>
      </c>
      <c r="K17" s="41">
        <f>RATE(S17*4,N17/4*(Q17+J17),-M17,Q17+J17)</f>
        <v>1.9503680541890812E-2</v>
      </c>
      <c r="L17" s="37">
        <f>K17*4</f>
        <v>7.801472216756325E-2</v>
      </c>
      <c r="M17" s="32">
        <v>500000</v>
      </c>
      <c r="N17" s="33">
        <v>7.8E-2</v>
      </c>
      <c r="O17" s="33" t="s">
        <v>4</v>
      </c>
      <c r="P17" s="33">
        <v>4.7500000000000001E-2</v>
      </c>
      <c r="Q17" s="32">
        <v>500000</v>
      </c>
      <c r="R17" s="34">
        <v>43178</v>
      </c>
      <c r="S17" s="42">
        <f>(R17-B17)/365.2421875</f>
        <v>5.998759384825993</v>
      </c>
      <c r="U17" s="7" t="s">
        <v>3</v>
      </c>
      <c r="V17" s="7">
        <v>4</v>
      </c>
      <c r="W17" s="43"/>
      <c r="X17" s="7" t="s">
        <v>28</v>
      </c>
      <c r="AF17" s="7" t="s">
        <v>1</v>
      </c>
      <c r="AH17" s="7" t="s">
        <v>0</v>
      </c>
      <c r="AI17" s="7" t="s">
        <v>97</v>
      </c>
    </row>
    <row r="18" spans="1:36">
      <c r="A18" s="7" t="s">
        <v>282</v>
      </c>
      <c r="B18" s="34">
        <v>40954</v>
      </c>
      <c r="C18" s="7" t="s">
        <v>121</v>
      </c>
      <c r="D18" s="52">
        <v>3600000000</v>
      </c>
      <c r="E18" s="40" t="s">
        <v>7</v>
      </c>
      <c r="F18" s="7" t="s">
        <v>53</v>
      </c>
      <c r="G18" s="7" t="s">
        <v>5</v>
      </c>
      <c r="H18" s="36">
        <v>400000000</v>
      </c>
      <c r="I18" s="36">
        <v>75000</v>
      </c>
      <c r="J18" s="36">
        <f>I18/(H18/M18)</f>
        <v>93.75</v>
      </c>
      <c r="K18" s="41">
        <f>RATE(S18*4,N18/4*(Q18+J18),-M18,Q18+J18)</f>
        <v>1.7658703293039344E-2</v>
      </c>
      <c r="L18" s="37">
        <f>K18*4</f>
        <v>7.0634813172157376E-2</v>
      </c>
      <c r="M18" s="32">
        <v>500000</v>
      </c>
      <c r="N18" s="33">
        <v>7.059E-2</v>
      </c>
      <c r="O18" s="35" t="s">
        <v>4</v>
      </c>
      <c r="P18" s="33">
        <v>4.2000000000000003E-2</v>
      </c>
      <c r="Q18" s="32">
        <v>500000</v>
      </c>
      <c r="R18" s="34">
        <v>42781</v>
      </c>
      <c r="S18" s="42">
        <f>(R18-B18)/365.2421875</f>
        <v>5.0021603815961155</v>
      </c>
      <c r="U18" s="7" t="s">
        <v>3</v>
      </c>
      <c r="V18" s="7">
        <v>4</v>
      </c>
      <c r="W18" s="43"/>
      <c r="X18" s="7" t="s">
        <v>28</v>
      </c>
      <c r="AD18" s="7" t="s">
        <v>1</v>
      </c>
      <c r="AH18" s="7" t="s">
        <v>0</v>
      </c>
      <c r="AI18" s="7" t="s">
        <v>97</v>
      </c>
    </row>
    <row r="19" spans="1:36">
      <c r="A19" s="7" t="s">
        <v>281</v>
      </c>
      <c r="B19" s="34">
        <v>40702</v>
      </c>
      <c r="C19" s="7" t="s">
        <v>279</v>
      </c>
      <c r="D19" s="52">
        <v>702000000</v>
      </c>
      <c r="E19" s="40" t="s">
        <v>19</v>
      </c>
      <c r="F19" s="7" t="s">
        <v>18</v>
      </c>
      <c r="G19" s="7" t="s">
        <v>57</v>
      </c>
      <c r="H19" s="36">
        <v>100000000</v>
      </c>
      <c r="I19" s="36">
        <v>65000</v>
      </c>
      <c r="J19" s="36">
        <f>I19/(H19/M19)</f>
        <v>325</v>
      </c>
      <c r="K19" s="41"/>
      <c r="M19" s="32">
        <v>500000</v>
      </c>
      <c r="N19" s="33">
        <v>6.6000000000000003E-2</v>
      </c>
      <c r="O19" s="35" t="s">
        <v>4</v>
      </c>
      <c r="P19" s="33">
        <v>0.04</v>
      </c>
      <c r="Q19" s="32">
        <v>500000</v>
      </c>
      <c r="S19" s="42"/>
      <c r="U19" s="7" t="s">
        <v>3</v>
      </c>
      <c r="V19" s="7">
        <v>4</v>
      </c>
      <c r="W19" s="43"/>
      <c r="X19" s="7" t="s">
        <v>56</v>
      </c>
      <c r="Y19" s="7" t="s">
        <v>36</v>
      </c>
      <c r="AH19" s="7" t="s">
        <v>36</v>
      </c>
      <c r="AI19" s="7" t="s">
        <v>22</v>
      </c>
    </row>
    <row r="20" spans="1:36">
      <c r="A20" s="7" t="s">
        <v>280</v>
      </c>
      <c r="B20" s="34">
        <v>41251</v>
      </c>
      <c r="C20" s="7" t="s">
        <v>279</v>
      </c>
      <c r="D20" s="52">
        <v>650000000</v>
      </c>
      <c r="E20" s="40" t="s">
        <v>19</v>
      </c>
      <c r="F20" s="7" t="s">
        <v>18</v>
      </c>
      <c r="G20" s="7" t="s">
        <v>57</v>
      </c>
      <c r="H20" s="36">
        <v>100000000</v>
      </c>
      <c r="J20" s="36">
        <f>I20/(H20/M20)</f>
        <v>0</v>
      </c>
      <c r="K20" s="41"/>
      <c r="M20" s="32">
        <v>500000</v>
      </c>
      <c r="N20" s="33">
        <v>6.3500000000000001E-2</v>
      </c>
      <c r="O20" s="35" t="s">
        <v>4</v>
      </c>
      <c r="P20" s="33" t="s">
        <v>278</v>
      </c>
      <c r="Q20" s="32">
        <v>500000</v>
      </c>
      <c r="S20" s="42"/>
      <c r="U20" s="7" t="s">
        <v>3</v>
      </c>
      <c r="V20" s="7">
        <v>4</v>
      </c>
      <c r="W20" s="43"/>
      <c r="X20" s="7" t="s">
        <v>56</v>
      </c>
      <c r="Y20" s="7" t="s">
        <v>36</v>
      </c>
      <c r="AH20" s="7" t="s">
        <v>36</v>
      </c>
      <c r="AI20" s="7" t="s">
        <v>22</v>
      </c>
    </row>
    <row r="21" spans="1:36">
      <c r="A21" s="7" t="s">
        <v>277</v>
      </c>
      <c r="B21" s="34">
        <v>40988</v>
      </c>
      <c r="C21" s="7" t="s">
        <v>276</v>
      </c>
      <c r="D21" s="52">
        <v>4000000000</v>
      </c>
      <c r="E21" s="40" t="s">
        <v>7</v>
      </c>
      <c r="F21" s="7" t="s">
        <v>12</v>
      </c>
      <c r="G21" s="7" t="s">
        <v>5</v>
      </c>
      <c r="H21" s="36">
        <v>500000000</v>
      </c>
      <c r="I21" s="36">
        <v>75000</v>
      </c>
      <c r="J21" s="36">
        <f>I21/(H21/M21)</f>
        <v>75</v>
      </c>
      <c r="K21" s="41">
        <f>RATE(S21*4,N21/4*(Q21+J21),-M21,Q21+J21)</f>
        <v>2.4359439111977448E-2</v>
      </c>
      <c r="L21" s="37">
        <f>K21*4</f>
        <v>9.7437756447909793E-2</v>
      </c>
      <c r="M21" s="32">
        <v>500000</v>
      </c>
      <c r="N21" s="33">
        <v>9.74E-2</v>
      </c>
      <c r="O21" s="35" t="s">
        <v>4</v>
      </c>
      <c r="P21" s="33">
        <v>7.0000000000000007E-2</v>
      </c>
      <c r="Q21" s="32">
        <v>500000</v>
      </c>
      <c r="R21" s="34">
        <v>42845</v>
      </c>
      <c r="S21" s="42">
        <f>(R21-B21)/365.2421875</f>
        <v>5.0842976620820943</v>
      </c>
      <c r="U21" s="7" t="s">
        <v>3</v>
      </c>
      <c r="V21" s="7">
        <v>4</v>
      </c>
      <c r="W21" s="43"/>
      <c r="X21" s="7" t="s">
        <v>28</v>
      </c>
      <c r="AD21" s="7" t="s">
        <v>66</v>
      </c>
      <c r="AH21" s="7" t="s">
        <v>65</v>
      </c>
      <c r="AI21" s="7" t="s">
        <v>97</v>
      </c>
    </row>
    <row r="22" spans="1:36">
      <c r="A22" s="7" t="s">
        <v>275</v>
      </c>
      <c r="B22" s="34">
        <v>41058</v>
      </c>
      <c r="C22" s="7" t="s">
        <v>152</v>
      </c>
      <c r="D22" s="52">
        <v>4100000000</v>
      </c>
      <c r="E22" s="40" t="s">
        <v>7</v>
      </c>
      <c r="F22" s="7" t="s">
        <v>25</v>
      </c>
      <c r="G22" s="7" t="s">
        <v>5</v>
      </c>
      <c r="H22" s="36">
        <v>1500000000</v>
      </c>
      <c r="I22" s="36">
        <v>45000</v>
      </c>
      <c r="J22" s="36">
        <f>I22/(H22/M22)</f>
        <v>15</v>
      </c>
      <c r="K22" s="41">
        <f>RATE(S22*4,N22/4*(Q22+J22),-M22,Q22+J22)</f>
        <v>7.9038869836954122E-3</v>
      </c>
      <c r="L22" s="44">
        <f>K22*4</f>
        <v>3.1615547934781649E-2</v>
      </c>
      <c r="M22" s="32">
        <v>500000</v>
      </c>
      <c r="N22" s="33">
        <v>3.1600000000000003E-2</v>
      </c>
      <c r="O22" s="35" t="s">
        <v>4</v>
      </c>
      <c r="P22" s="33">
        <v>8.3000000000000001E-3</v>
      </c>
      <c r="Q22" s="32">
        <v>500000</v>
      </c>
      <c r="R22" s="34">
        <v>41788</v>
      </c>
      <c r="S22" s="42">
        <f>(R22-B22)/365.2421875</f>
        <v>1.9986738251588201</v>
      </c>
      <c r="U22" s="7" t="s">
        <v>3</v>
      </c>
      <c r="V22" s="7">
        <v>4</v>
      </c>
      <c r="W22" s="43"/>
      <c r="X22" s="7" t="s">
        <v>2</v>
      </c>
    </row>
    <row r="23" spans="1:36">
      <c r="A23" s="7" t="s">
        <v>274</v>
      </c>
      <c r="B23" s="34">
        <v>40949</v>
      </c>
      <c r="C23" s="7" t="s">
        <v>272</v>
      </c>
      <c r="D23" s="52">
        <v>9800000000</v>
      </c>
      <c r="E23" s="40" t="s">
        <v>7</v>
      </c>
      <c r="F23" s="7" t="s">
        <v>53</v>
      </c>
      <c r="G23" s="7" t="s">
        <v>5</v>
      </c>
      <c r="H23" s="36">
        <v>700000000</v>
      </c>
      <c r="I23" s="36">
        <v>80000</v>
      </c>
      <c r="J23" s="36">
        <f>I23/(H23/M23)</f>
        <v>57.142857142857146</v>
      </c>
      <c r="K23" s="41">
        <f>RATE(S23*4,N23/4*(Q23+J23),-M23,Q23+J23)</f>
        <v>1.8056855715645265E-2</v>
      </c>
      <c r="L23" s="37">
        <f>K23*4</f>
        <v>7.2227422862581062E-2</v>
      </c>
      <c r="M23" s="32">
        <v>500000</v>
      </c>
      <c r="N23" s="33">
        <v>7.22E-2</v>
      </c>
      <c r="O23" s="35" t="s">
        <v>4</v>
      </c>
      <c r="P23" s="33">
        <v>4.4999999999999998E-2</v>
      </c>
      <c r="Q23" s="32">
        <v>500000</v>
      </c>
      <c r="R23" s="34">
        <v>42776</v>
      </c>
      <c r="S23" s="42">
        <f>(R23-B23)/365.2421875</f>
        <v>5.0021603815961155</v>
      </c>
      <c r="U23" s="7" t="s">
        <v>3</v>
      </c>
      <c r="V23" s="7">
        <v>4</v>
      </c>
      <c r="W23" s="43"/>
      <c r="X23" s="7" t="s">
        <v>28</v>
      </c>
      <c r="AD23" s="7" t="s">
        <v>1</v>
      </c>
      <c r="AH23" s="7" t="s">
        <v>0</v>
      </c>
      <c r="AI23" s="7" t="s">
        <v>22</v>
      </c>
    </row>
    <row r="24" spans="1:36">
      <c r="A24" s="7" t="s">
        <v>273</v>
      </c>
      <c r="B24" s="34">
        <v>40949</v>
      </c>
      <c r="C24" s="7" t="s">
        <v>272</v>
      </c>
      <c r="D24" s="52">
        <v>9800000000</v>
      </c>
      <c r="E24" s="40" t="s">
        <v>7</v>
      </c>
      <c r="F24" s="7" t="s">
        <v>53</v>
      </c>
      <c r="G24" s="7" t="s">
        <v>5</v>
      </c>
      <c r="H24" s="36">
        <v>300000000</v>
      </c>
      <c r="I24" s="36">
        <v>70000</v>
      </c>
      <c r="J24" s="36">
        <f>I24/(H24/M24)</f>
        <v>116.66666666666667</v>
      </c>
      <c r="K24" s="41">
        <f>RATE(S24*4,N24/4*(Q24+J24),-M24,Q24+J24)</f>
        <v>1.9310863097423324E-2</v>
      </c>
      <c r="L24" s="37">
        <f>K24*4</f>
        <v>7.7243452389693296E-2</v>
      </c>
      <c r="M24" s="32">
        <v>500000</v>
      </c>
      <c r="N24" s="33">
        <v>7.7200000000000005E-2</v>
      </c>
      <c r="O24" s="35" t="s">
        <v>4</v>
      </c>
      <c r="P24" s="33">
        <v>0.05</v>
      </c>
      <c r="Q24" s="32">
        <v>500000</v>
      </c>
      <c r="R24" s="34">
        <v>43506</v>
      </c>
      <c r="S24" s="42">
        <f>(R24-B24)/365.2421875</f>
        <v>7.0008342067549361</v>
      </c>
      <c r="U24" s="7" t="s">
        <v>3</v>
      </c>
      <c r="V24" s="7">
        <v>4</v>
      </c>
      <c r="W24" s="43"/>
      <c r="X24" s="7" t="s">
        <v>28</v>
      </c>
      <c r="AD24" s="7" t="s">
        <v>1</v>
      </c>
      <c r="AH24" s="7" t="s">
        <v>0</v>
      </c>
      <c r="AI24" s="7" t="s">
        <v>22</v>
      </c>
    </row>
    <row r="25" spans="1:36">
      <c r="A25" s="7" t="s">
        <v>271</v>
      </c>
      <c r="B25" s="34">
        <v>40998</v>
      </c>
      <c r="C25" s="7" t="s">
        <v>131</v>
      </c>
      <c r="D25" s="52">
        <v>2500000000</v>
      </c>
      <c r="E25" s="40" t="s">
        <v>7</v>
      </c>
      <c r="F25" s="7" t="s">
        <v>6</v>
      </c>
      <c r="G25" s="7" t="s">
        <v>17</v>
      </c>
      <c r="H25" s="36">
        <v>350000000</v>
      </c>
      <c r="I25" s="36">
        <v>145000</v>
      </c>
      <c r="J25" s="36">
        <f>I25/(H25/M25)</f>
        <v>207.14285714285714</v>
      </c>
      <c r="K25" s="41">
        <f>RATE(S25*4,N25/4*(Q25+J25),-M25,Q25+J25)</f>
        <v>1.0028142762737849E-2</v>
      </c>
      <c r="L25" s="37">
        <f>K25*4</f>
        <v>4.0112571050951396E-2</v>
      </c>
      <c r="M25" s="32">
        <v>500000</v>
      </c>
      <c r="N25" s="33">
        <v>0.04</v>
      </c>
      <c r="Q25" s="32">
        <v>500000</v>
      </c>
      <c r="R25" s="34">
        <v>42459</v>
      </c>
      <c r="S25" s="42">
        <f>(R25-B25)/365.2421875</f>
        <v>4.0000855596671725</v>
      </c>
      <c r="U25" s="7" t="s">
        <v>16</v>
      </c>
      <c r="V25" s="7">
        <v>1</v>
      </c>
      <c r="W25" s="43">
        <f>MDURATION(B25,R25,N25,L25,V25)</f>
        <v>3.6294525045281252</v>
      </c>
      <c r="X25" s="7" t="s">
        <v>2</v>
      </c>
      <c r="AB25" s="7" t="s">
        <v>24</v>
      </c>
      <c r="AH25" s="7" t="s">
        <v>23</v>
      </c>
      <c r="AI25" s="7" t="s">
        <v>22</v>
      </c>
    </row>
    <row r="26" spans="1:36">
      <c r="A26" s="7" t="s">
        <v>270</v>
      </c>
      <c r="B26" s="34">
        <v>40948</v>
      </c>
      <c r="C26" s="7" t="s">
        <v>269</v>
      </c>
      <c r="D26" s="52">
        <v>2000000000</v>
      </c>
      <c r="E26" s="40" t="s">
        <v>19</v>
      </c>
      <c r="F26" s="7" t="s">
        <v>18</v>
      </c>
      <c r="G26" s="7" t="s">
        <v>57</v>
      </c>
      <c r="H26" s="36">
        <v>325000000</v>
      </c>
      <c r="I26" s="36">
        <v>75000</v>
      </c>
      <c r="J26" s="36">
        <f>I26/(H26/M26)</f>
        <v>115.38461538461539</v>
      </c>
      <c r="K26" s="41"/>
      <c r="M26" s="32">
        <v>500000</v>
      </c>
      <c r="N26" s="33">
        <f>P26+2.68%</f>
        <v>7.6800000000000007E-2</v>
      </c>
      <c r="O26" s="35" t="s">
        <v>4</v>
      </c>
      <c r="P26" s="33">
        <v>0.05</v>
      </c>
      <c r="Q26" s="32">
        <v>500000</v>
      </c>
      <c r="S26" s="42"/>
      <c r="U26" s="7" t="s">
        <v>3</v>
      </c>
      <c r="V26" s="7">
        <v>4</v>
      </c>
      <c r="W26" s="43"/>
      <c r="X26" s="7" t="s">
        <v>56</v>
      </c>
      <c r="Z26" s="7" t="s">
        <v>37</v>
      </c>
      <c r="AH26" s="7" t="s">
        <v>36</v>
      </c>
      <c r="AI26" s="7" t="s">
        <v>22</v>
      </c>
    </row>
    <row r="27" spans="1:36">
      <c r="A27" s="7" t="s">
        <v>268</v>
      </c>
      <c r="B27" s="34">
        <v>40996</v>
      </c>
      <c r="C27" s="7" t="s">
        <v>267</v>
      </c>
      <c r="D27" s="52">
        <v>322000000</v>
      </c>
      <c r="E27" s="40" t="s">
        <v>19</v>
      </c>
      <c r="F27" s="7" t="s">
        <v>18</v>
      </c>
      <c r="G27" s="7" t="s">
        <v>57</v>
      </c>
      <c r="H27" s="36">
        <v>220000000</v>
      </c>
      <c r="I27" s="36">
        <v>70000</v>
      </c>
      <c r="J27" s="36">
        <f>I27/(H27/M27)</f>
        <v>159.09090909090909</v>
      </c>
      <c r="K27" s="41"/>
      <c r="M27" s="32">
        <v>500000</v>
      </c>
      <c r="N27" s="33">
        <f>P27+2.24%</f>
        <v>7.4399999999999994E-2</v>
      </c>
      <c r="O27" s="35" t="s">
        <v>4</v>
      </c>
      <c r="P27" s="33">
        <v>5.1999999999999998E-2</v>
      </c>
      <c r="Q27" s="32">
        <v>500000</v>
      </c>
      <c r="S27" s="42"/>
      <c r="U27" s="7" t="s">
        <v>3</v>
      </c>
      <c r="V27" s="7">
        <v>4</v>
      </c>
      <c r="W27" s="43"/>
      <c r="X27" s="7" t="s">
        <v>56</v>
      </c>
      <c r="Y27" s="7" t="s">
        <v>266</v>
      </c>
      <c r="AH27" s="7" t="s">
        <v>145</v>
      </c>
      <c r="AJ27" s="7" t="s">
        <v>265</v>
      </c>
    </row>
    <row r="28" spans="1:36">
      <c r="A28" s="7" t="s">
        <v>264</v>
      </c>
      <c r="B28" s="34">
        <v>41010</v>
      </c>
      <c r="C28" s="7" t="s">
        <v>263</v>
      </c>
      <c r="D28" s="52">
        <v>200000000</v>
      </c>
      <c r="E28" s="40" t="s">
        <v>19</v>
      </c>
      <c r="F28" s="7" t="s">
        <v>18</v>
      </c>
      <c r="G28" s="7" t="s">
        <v>57</v>
      </c>
      <c r="H28" s="36">
        <v>65000000</v>
      </c>
      <c r="I28" s="36">
        <v>60000</v>
      </c>
      <c r="J28" s="36">
        <f>I28/(H28/M28)</f>
        <v>461.53846153846155</v>
      </c>
      <c r="K28" s="41"/>
      <c r="M28" s="32">
        <v>500000</v>
      </c>
      <c r="N28" s="33">
        <f>P28+2.33%</f>
        <v>7.7300000000000008E-2</v>
      </c>
      <c r="O28" s="35" t="s">
        <v>4</v>
      </c>
      <c r="P28" s="33">
        <v>5.3999999999999999E-2</v>
      </c>
      <c r="Q28" s="32">
        <v>500000</v>
      </c>
      <c r="S28" s="42"/>
      <c r="U28" s="7" t="s">
        <v>3</v>
      </c>
      <c r="V28" s="7">
        <v>4</v>
      </c>
      <c r="W28" s="43"/>
      <c r="X28" s="7" t="s">
        <v>56</v>
      </c>
    </row>
    <row r="29" spans="1:36">
      <c r="A29" s="7" t="s">
        <v>262</v>
      </c>
      <c r="B29" s="34">
        <v>41009</v>
      </c>
      <c r="C29" s="7" t="s">
        <v>143</v>
      </c>
      <c r="D29" s="52">
        <v>1000000000</v>
      </c>
      <c r="E29" s="40" t="s">
        <v>7</v>
      </c>
      <c r="F29" s="7" t="s">
        <v>6</v>
      </c>
      <c r="G29" s="7" t="s">
        <v>5</v>
      </c>
      <c r="H29" s="36">
        <v>1500000000</v>
      </c>
      <c r="I29" s="36">
        <v>80000</v>
      </c>
      <c r="J29" s="36">
        <f>I29/(H29/M29)</f>
        <v>53.333333333333336</v>
      </c>
      <c r="K29" s="41">
        <f>RATE(S29*4,N29/4*(Q29+J29),-M29,Q29+J29)</f>
        <v>8.9529245728711994E-3</v>
      </c>
      <c r="L29" s="37">
        <f>K29*4</f>
        <v>3.5811698291484798E-2</v>
      </c>
      <c r="M29" s="32">
        <v>1000000</v>
      </c>
      <c r="N29" s="33">
        <v>3.5799999999999998E-2</v>
      </c>
      <c r="O29" s="35" t="s">
        <v>4</v>
      </c>
      <c r="P29" s="33">
        <v>1.2500000000000001E-2</v>
      </c>
      <c r="Q29" s="32">
        <v>1000000</v>
      </c>
      <c r="R29" s="34">
        <v>42835</v>
      </c>
      <c r="S29" s="42">
        <f>(R29-B29)/365.2421875</f>
        <v>4.9994224722465832</v>
      </c>
      <c r="U29" s="7" t="s">
        <v>3</v>
      </c>
      <c r="V29" s="7">
        <v>4</v>
      </c>
      <c r="W29" s="43"/>
      <c r="X29" s="7" t="s">
        <v>28</v>
      </c>
      <c r="AB29" s="7" t="s">
        <v>37</v>
      </c>
      <c r="AH29" s="7" t="s">
        <v>36</v>
      </c>
      <c r="AI29" s="7" t="s">
        <v>22</v>
      </c>
    </row>
    <row r="30" spans="1:36">
      <c r="A30" s="7" t="s">
        <v>261</v>
      </c>
      <c r="B30" s="34">
        <v>41061</v>
      </c>
      <c r="C30" s="7" t="s">
        <v>26</v>
      </c>
      <c r="D30" s="52">
        <v>15800000000</v>
      </c>
      <c r="E30" s="40" t="s">
        <v>7</v>
      </c>
      <c r="F30" s="7" t="s">
        <v>25</v>
      </c>
      <c r="G30" s="7" t="s">
        <v>5</v>
      </c>
      <c r="H30" s="45">
        <v>100000000</v>
      </c>
      <c r="I30" s="36">
        <v>80000</v>
      </c>
      <c r="J30" s="36">
        <f>I30/(H30/M30)</f>
        <v>800</v>
      </c>
      <c r="K30" s="41">
        <f>RATE(S30*4,N30/4*(Q30+J30),-M30,Q30+J30)</f>
        <v>8.895571922329891E-3</v>
      </c>
      <c r="L30" s="37">
        <f>K30*4</f>
        <v>3.5582287689319564E-2</v>
      </c>
      <c r="M30" s="32">
        <v>1000000</v>
      </c>
      <c r="N30" s="33">
        <v>3.5299999999999998E-2</v>
      </c>
      <c r="O30" s="35" t="s">
        <v>260</v>
      </c>
      <c r="P30" s="33">
        <v>1.4E-2</v>
      </c>
      <c r="Q30" s="32">
        <v>1000000</v>
      </c>
      <c r="R30" s="34">
        <v>42156</v>
      </c>
      <c r="S30" s="42">
        <f>(R30-B30)/365.2421875</f>
        <v>2.9980107377382303</v>
      </c>
      <c r="U30" s="7" t="s">
        <v>3</v>
      </c>
      <c r="V30" s="7">
        <v>4</v>
      </c>
      <c r="W30" s="43"/>
      <c r="X30" s="7" t="s">
        <v>2</v>
      </c>
      <c r="AB30" s="7" t="s">
        <v>24</v>
      </c>
      <c r="AH30" s="7" t="s">
        <v>23</v>
      </c>
      <c r="AI30" s="7" t="s">
        <v>22</v>
      </c>
    </row>
    <row r="31" spans="1:36">
      <c r="A31" s="7" t="s">
        <v>259</v>
      </c>
      <c r="B31" s="34">
        <v>41061</v>
      </c>
      <c r="C31" s="7" t="s">
        <v>26</v>
      </c>
      <c r="D31" s="52">
        <v>15800000000</v>
      </c>
      <c r="E31" s="40" t="s">
        <v>7</v>
      </c>
      <c r="F31" s="7" t="s">
        <v>25</v>
      </c>
      <c r="G31" s="7" t="s">
        <v>17</v>
      </c>
      <c r="H31" s="45">
        <v>100000000</v>
      </c>
      <c r="I31" s="36">
        <v>80000</v>
      </c>
      <c r="J31" s="36">
        <f>I31/(H31/M31)</f>
        <v>800</v>
      </c>
      <c r="K31" s="41">
        <f>RATE(S31*4,N31/4*(Q31+J31),-M31,Q31+J31)</f>
        <v>8.0702034960891782E-3</v>
      </c>
      <c r="L31" s="37">
        <f>K31*4</f>
        <v>3.2280813984356713E-2</v>
      </c>
      <c r="M31" s="32">
        <v>1000000</v>
      </c>
      <c r="N31" s="33">
        <v>3.2000000000000001E-2</v>
      </c>
      <c r="Q31" s="32">
        <v>1000000</v>
      </c>
      <c r="R31" s="34">
        <v>42156</v>
      </c>
      <c r="S31" s="42">
        <f>(R31-B31)/365.2421875</f>
        <v>2.9980107377382303</v>
      </c>
      <c r="U31" s="7" t="s">
        <v>16</v>
      </c>
      <c r="V31" s="7">
        <v>1</v>
      </c>
      <c r="W31" s="43">
        <f>MDURATION(B31,R31,N31,L31,V31)</f>
        <v>2.8169646891123241</v>
      </c>
      <c r="X31" s="7" t="s">
        <v>2</v>
      </c>
      <c r="AB31" s="7" t="s">
        <v>24</v>
      </c>
      <c r="AH31" s="7" t="s">
        <v>23</v>
      </c>
      <c r="AI31" s="7" t="s">
        <v>22</v>
      </c>
    </row>
    <row r="32" spans="1:36">
      <c r="A32" s="7" t="s">
        <v>258</v>
      </c>
      <c r="B32" s="34">
        <v>41031</v>
      </c>
      <c r="C32" s="7" t="s">
        <v>257</v>
      </c>
      <c r="D32" s="54">
        <f>11500000000</f>
        <v>11500000000</v>
      </c>
      <c r="E32" s="40" t="s">
        <v>7</v>
      </c>
      <c r="F32" s="7" t="s">
        <v>12</v>
      </c>
      <c r="G32" s="7" t="s">
        <v>5</v>
      </c>
      <c r="H32" s="36">
        <v>500000000</v>
      </c>
      <c r="I32" s="36">
        <v>80000</v>
      </c>
      <c r="J32" s="36">
        <f>I32/(H32/M32)</f>
        <v>80</v>
      </c>
      <c r="K32" s="41">
        <f>RATE(S32*4,N32/4*(Q32+J32),-M32,Q32+J32)</f>
        <v>1.4561280381163529E-2</v>
      </c>
      <c r="L32" s="37">
        <f>K32*4</f>
        <v>5.8245121524654116E-2</v>
      </c>
      <c r="M32" s="32">
        <v>500000</v>
      </c>
      <c r="N32" s="33">
        <v>5.8200000000000002E-2</v>
      </c>
      <c r="O32" s="35" t="s">
        <v>4</v>
      </c>
      <c r="P32" s="33">
        <v>3.5000000000000003E-2</v>
      </c>
      <c r="Q32" s="32">
        <v>500000</v>
      </c>
      <c r="R32" s="34">
        <v>42492</v>
      </c>
      <c r="S32" s="42">
        <f>(R32-B32)/365.2421875</f>
        <v>4.0000855596671725</v>
      </c>
      <c r="U32" s="7" t="s">
        <v>3</v>
      </c>
      <c r="V32" s="7">
        <v>4</v>
      </c>
      <c r="W32" s="43"/>
      <c r="X32" s="7" t="s">
        <v>2</v>
      </c>
      <c r="AB32" s="7" t="s">
        <v>42</v>
      </c>
      <c r="AH32" s="7" t="s">
        <v>41</v>
      </c>
      <c r="AI32" s="7" t="s">
        <v>22</v>
      </c>
    </row>
    <row r="33" spans="1:36">
      <c r="A33" s="7" t="s">
        <v>256</v>
      </c>
      <c r="B33" s="34">
        <v>41010</v>
      </c>
      <c r="C33" s="7" t="s">
        <v>255</v>
      </c>
      <c r="D33" s="52">
        <f>1154000000*5.92</f>
        <v>6831680000</v>
      </c>
      <c r="E33" s="40" t="s">
        <v>7</v>
      </c>
      <c r="F33" s="7" t="s">
        <v>12</v>
      </c>
      <c r="G33" s="7" t="s">
        <v>5</v>
      </c>
      <c r="H33" s="36">
        <v>600000000</v>
      </c>
      <c r="I33" s="36">
        <v>80000</v>
      </c>
      <c r="J33" s="36">
        <f>I33/(H33/M33)</f>
        <v>66.666666666666671</v>
      </c>
      <c r="K33" s="41">
        <f>RATE(S33*4,N33/4*(Q33+J33),-M33,Q33+J33)</f>
        <v>2.0233172266995059E-2</v>
      </c>
      <c r="L33" s="37">
        <f>K33*4</f>
        <v>8.0932689067980235E-2</v>
      </c>
      <c r="M33" s="32">
        <v>500000</v>
      </c>
      <c r="N33" s="33">
        <v>8.09E-2</v>
      </c>
      <c r="O33" s="35" t="s">
        <v>4</v>
      </c>
      <c r="P33" s="33">
        <v>5.7500000000000002E-2</v>
      </c>
      <c r="Q33" s="32">
        <v>500000</v>
      </c>
      <c r="R33" s="34">
        <v>42836</v>
      </c>
      <c r="S33" s="42">
        <f>(R33-B33)/365.2421875</f>
        <v>4.9994224722465832</v>
      </c>
      <c r="U33" s="7" t="s">
        <v>3</v>
      </c>
      <c r="V33" s="7">
        <v>4</v>
      </c>
      <c r="W33" s="43"/>
      <c r="X33" s="7" t="s">
        <v>2</v>
      </c>
      <c r="AD33" s="7" t="s">
        <v>88</v>
      </c>
      <c r="AH33" s="7" t="s">
        <v>80</v>
      </c>
    </row>
    <row r="34" spans="1:36">
      <c r="A34" s="7" t="s">
        <v>254</v>
      </c>
      <c r="B34" s="34">
        <v>41067</v>
      </c>
      <c r="C34" s="7" t="s">
        <v>47</v>
      </c>
      <c r="D34" s="52">
        <v>278000000</v>
      </c>
      <c r="E34" s="40" t="s">
        <v>19</v>
      </c>
      <c r="F34" s="7" t="s">
        <v>18</v>
      </c>
      <c r="G34" s="7" t="s">
        <v>33</v>
      </c>
      <c r="H34" s="36">
        <v>1000000000</v>
      </c>
      <c r="I34" s="36">
        <v>70000</v>
      </c>
      <c r="J34" s="36">
        <f>I34/(H34/M34)</f>
        <v>35</v>
      </c>
      <c r="K34" s="41">
        <f>RATE(S34*4,N34/4*(Q34+J34),-M34,Q34+J34)</f>
        <v>7.7781918207165323E-3</v>
      </c>
      <c r="L34" s="37">
        <f>K34*4</f>
        <v>3.1112767282866129E-2</v>
      </c>
      <c r="M34" s="32">
        <v>500000</v>
      </c>
      <c r="N34" s="33">
        <v>3.1099999999999999E-2</v>
      </c>
      <c r="O34" s="35" t="s">
        <v>4</v>
      </c>
      <c r="P34" s="33">
        <v>7.1999999999999998E-3</v>
      </c>
      <c r="Q34" s="32">
        <v>500000</v>
      </c>
      <c r="R34" s="34">
        <v>43271</v>
      </c>
      <c r="S34" s="42">
        <f>(R34-B34)/365.2421875</f>
        <v>6.0343522063699169</v>
      </c>
      <c r="T34" s="34">
        <v>43636</v>
      </c>
      <c r="U34" s="7" t="s">
        <v>3</v>
      </c>
      <c r="V34" s="7">
        <v>4</v>
      </c>
      <c r="W34" s="43"/>
      <c r="X34" s="7" t="s">
        <v>2</v>
      </c>
      <c r="Y34" s="7" t="s">
        <v>46</v>
      </c>
      <c r="AH34" s="7" t="s">
        <v>46</v>
      </c>
      <c r="AI34" s="7" t="s">
        <v>22</v>
      </c>
    </row>
    <row r="35" spans="1:36">
      <c r="A35" s="7" t="s">
        <v>253</v>
      </c>
      <c r="B35" s="34">
        <v>41010</v>
      </c>
      <c r="C35" s="7" t="s">
        <v>166</v>
      </c>
      <c r="D35" s="52">
        <v>5300000000</v>
      </c>
      <c r="E35" s="40" t="s">
        <v>7</v>
      </c>
      <c r="F35" s="7" t="s">
        <v>53</v>
      </c>
      <c r="G35" s="7" t="s">
        <v>17</v>
      </c>
      <c r="H35" s="36">
        <v>500000000</v>
      </c>
      <c r="I35" s="36">
        <v>60000</v>
      </c>
      <c r="J35" s="36">
        <f>I35/(H35/M35)</f>
        <v>60</v>
      </c>
      <c r="K35" s="41">
        <f>RATE(S35*4,N35/4*(Q35+J35),-M35,Q35+J35)</f>
        <v>1.3503902425841341E-2</v>
      </c>
      <c r="L35" s="37">
        <f>K35*4</f>
        <v>5.4015609703365365E-2</v>
      </c>
      <c r="M35" s="32">
        <v>500000</v>
      </c>
      <c r="N35" s="33">
        <v>5.3999999999999999E-2</v>
      </c>
      <c r="Q35" s="32">
        <v>500000</v>
      </c>
      <c r="R35" s="34">
        <v>44662</v>
      </c>
      <c r="S35" s="42">
        <f>(R35-B35)/365.2421875</f>
        <v>9.9988449444931664</v>
      </c>
      <c r="U35" s="7" t="s">
        <v>16</v>
      </c>
      <c r="V35" s="7">
        <v>1</v>
      </c>
      <c r="W35" s="43">
        <f>MDURATION(B35,R35,N35,L35,V35)</f>
        <v>7.5736709915911078</v>
      </c>
      <c r="X35" s="7" t="s">
        <v>2</v>
      </c>
    </row>
    <row r="36" spans="1:36">
      <c r="A36" s="7" t="s">
        <v>252</v>
      </c>
      <c r="B36" s="34">
        <v>41143</v>
      </c>
      <c r="C36" s="7" t="s">
        <v>152</v>
      </c>
      <c r="D36" s="52">
        <v>4100000000</v>
      </c>
      <c r="E36" s="40" t="s">
        <v>7</v>
      </c>
      <c r="F36" s="7" t="s">
        <v>25</v>
      </c>
      <c r="G36" s="7" t="s">
        <v>5</v>
      </c>
      <c r="H36" s="36">
        <v>1500000000</v>
      </c>
      <c r="I36" s="36">
        <v>45000</v>
      </c>
      <c r="J36" s="36">
        <f>I36/(H36/M36)</f>
        <v>15</v>
      </c>
      <c r="K36" s="41">
        <f>RATE(S36*4,N36/4*(Q36+J36),-M36,Q36+J36)</f>
        <v>8.326634711132876E-3</v>
      </c>
      <c r="L36" s="37">
        <f>K36*4</f>
        <v>3.3306538844531504E-2</v>
      </c>
      <c r="M36" s="32">
        <v>500000</v>
      </c>
      <c r="N36" s="33">
        <f>2.05%+P36</f>
        <v>3.3299999999999996E-2</v>
      </c>
      <c r="O36" s="35" t="s">
        <v>4</v>
      </c>
      <c r="P36" s="33">
        <v>1.2800000000000001E-2</v>
      </c>
      <c r="Q36" s="32">
        <v>500000</v>
      </c>
      <c r="R36" s="34">
        <v>42969</v>
      </c>
      <c r="S36" s="42">
        <f>(R36-B36)/365.2421875</f>
        <v>4.9994224722465832</v>
      </c>
      <c r="U36" s="7" t="s">
        <v>3</v>
      </c>
      <c r="V36" s="7">
        <v>4</v>
      </c>
      <c r="W36" s="43"/>
      <c r="X36" s="7" t="s">
        <v>2</v>
      </c>
    </row>
    <row r="37" spans="1:36">
      <c r="A37" s="7" t="s">
        <v>251</v>
      </c>
      <c r="B37" s="34">
        <v>41012</v>
      </c>
      <c r="C37" s="7" t="s">
        <v>250</v>
      </c>
      <c r="D37" s="52">
        <v>10500000000</v>
      </c>
      <c r="E37" s="40" t="s">
        <v>7</v>
      </c>
      <c r="F37" s="7" t="s">
        <v>12</v>
      </c>
      <c r="G37" s="7" t="s">
        <v>5</v>
      </c>
      <c r="H37" s="36">
        <v>800000000</v>
      </c>
      <c r="I37" s="36">
        <v>165000</v>
      </c>
      <c r="J37" s="36">
        <f>I37/(H37/M37)</f>
        <v>103.125</v>
      </c>
      <c r="K37" s="41">
        <f>RATE(S37*4,N37/4*(Q37+J37),-M37,Q37+J37)</f>
        <v>1.9394437912572771E-2</v>
      </c>
      <c r="L37" s="37">
        <f>K37*4</f>
        <v>7.7577751650291085E-2</v>
      </c>
      <c r="M37" s="32">
        <v>500000</v>
      </c>
      <c r="N37" s="33">
        <v>7.7499999999999999E-2</v>
      </c>
      <c r="O37" s="35" t="s">
        <v>4</v>
      </c>
      <c r="P37" s="33">
        <v>5.5E-2</v>
      </c>
      <c r="Q37" s="32">
        <v>500000</v>
      </c>
      <c r="R37" s="34">
        <v>42107</v>
      </c>
      <c r="S37" s="42">
        <f>(R37-B37)/365.2421875</f>
        <v>2.9980107377382303</v>
      </c>
      <c r="U37" s="7" t="s">
        <v>3</v>
      </c>
      <c r="V37" s="7">
        <v>4</v>
      </c>
      <c r="W37" s="43"/>
      <c r="X37" s="7" t="s">
        <v>2</v>
      </c>
      <c r="AD37" s="7" t="s">
        <v>52</v>
      </c>
      <c r="AH37" s="7" t="s">
        <v>51</v>
      </c>
      <c r="AI37" s="7" t="s">
        <v>22</v>
      </c>
    </row>
    <row r="38" spans="1:36">
      <c r="A38" s="7" t="s">
        <v>249</v>
      </c>
      <c r="B38" s="34">
        <v>41105</v>
      </c>
      <c r="C38" s="7" t="s">
        <v>248</v>
      </c>
      <c r="D38" s="52">
        <v>71000000000</v>
      </c>
      <c r="E38" s="40" t="s">
        <v>7</v>
      </c>
      <c r="F38" s="7" t="s">
        <v>247</v>
      </c>
      <c r="G38" s="7" t="s">
        <v>17</v>
      </c>
      <c r="H38" s="36">
        <v>3000000000</v>
      </c>
      <c r="I38" s="36">
        <v>85000</v>
      </c>
      <c r="J38" s="36">
        <f>I38/(H38/M38)</f>
        <v>28.333333333333332</v>
      </c>
      <c r="K38" s="41">
        <f>RATE(S38*4,N38/4*(Q38+J38),-M38,Q38+J38)</f>
        <v>1.350122612512253E-2</v>
      </c>
      <c r="L38" s="37">
        <f>K38*4</f>
        <v>5.4004904500490121E-2</v>
      </c>
      <c r="M38" s="32">
        <v>1000000</v>
      </c>
      <c r="N38" s="33">
        <v>5.3999999999999999E-2</v>
      </c>
      <c r="Q38" s="32">
        <v>1000000</v>
      </c>
      <c r="R38" s="34">
        <v>43651</v>
      </c>
      <c r="S38" s="42">
        <f>(R38-B38)/365.2421875</f>
        <v>6.9707172039100769</v>
      </c>
      <c r="U38" s="7" t="s">
        <v>16</v>
      </c>
      <c r="V38" s="7">
        <v>1</v>
      </c>
      <c r="W38" s="43">
        <f>MDURATION(B38,R38,N38,L38,V38)</f>
        <v>5.67702342310261</v>
      </c>
      <c r="X38" s="7" t="s">
        <v>2</v>
      </c>
      <c r="Y38" s="7" t="s">
        <v>145</v>
      </c>
      <c r="AH38" s="7" t="s">
        <v>145</v>
      </c>
      <c r="AI38" s="7" t="s">
        <v>22</v>
      </c>
    </row>
    <row r="39" spans="1:36">
      <c r="A39" s="7" t="s">
        <v>246</v>
      </c>
      <c r="B39" s="34">
        <v>40935</v>
      </c>
      <c r="C39" s="7" t="s">
        <v>92</v>
      </c>
      <c r="D39" s="52">
        <f>900000000*5.92</f>
        <v>5328000000</v>
      </c>
      <c r="E39" s="40" t="s">
        <v>7</v>
      </c>
      <c r="F39" s="7" t="s">
        <v>53</v>
      </c>
      <c r="G39" s="7" t="s">
        <v>5</v>
      </c>
      <c r="H39" s="36">
        <v>600000000</v>
      </c>
      <c r="I39" s="36">
        <v>75000</v>
      </c>
      <c r="J39" s="36">
        <f>I39/(H39/M39)</f>
        <v>62.5</v>
      </c>
      <c r="K39" s="41">
        <f>RATE(S39*4,N39/4*(Q39+J39),-M39,Q39+J39)</f>
        <v>2.0132650732331576E-2</v>
      </c>
      <c r="L39" s="37">
        <f>K39*4</f>
        <v>8.0530602929326303E-2</v>
      </c>
      <c r="M39" s="32">
        <v>500000</v>
      </c>
      <c r="N39" s="33">
        <v>8.0500000000000002E-2</v>
      </c>
      <c r="O39" s="35" t="s">
        <v>4</v>
      </c>
      <c r="P39" s="33">
        <v>5.7500000000000002E-2</v>
      </c>
      <c r="Q39" s="32">
        <v>500000</v>
      </c>
      <c r="R39" s="34">
        <v>42762</v>
      </c>
      <c r="S39" s="42">
        <f>(R39-B39)/365.2421875</f>
        <v>5.0021603815961155</v>
      </c>
      <c r="U39" s="7" t="s">
        <v>3</v>
      </c>
      <c r="V39" s="7">
        <v>4</v>
      </c>
      <c r="W39" s="43"/>
      <c r="X39" s="7" t="s">
        <v>28</v>
      </c>
      <c r="Y39" s="7" t="s">
        <v>51</v>
      </c>
      <c r="AH39" s="7" t="s">
        <v>51</v>
      </c>
      <c r="AI39" s="7" t="s">
        <v>22</v>
      </c>
    </row>
    <row r="40" spans="1:36">
      <c r="A40" s="7" t="s">
        <v>245</v>
      </c>
      <c r="B40" s="34">
        <v>41082</v>
      </c>
      <c r="C40" s="7" t="s">
        <v>104</v>
      </c>
      <c r="D40" s="52">
        <v>1900000000</v>
      </c>
      <c r="E40" s="40" t="s">
        <v>7</v>
      </c>
      <c r="F40" s="7" t="s">
        <v>25</v>
      </c>
      <c r="G40" s="7" t="s">
        <v>5</v>
      </c>
      <c r="H40" s="36">
        <v>200000000</v>
      </c>
      <c r="I40" s="36">
        <v>40000</v>
      </c>
      <c r="J40" s="36">
        <f>I40/(H40/M40)</f>
        <v>100</v>
      </c>
      <c r="K40" s="41">
        <f>RATE(S40*4,N40/4*(Q40+J40),-M40,Q40+J40)</f>
        <v>1.0136097194025995E-2</v>
      </c>
      <c r="L40" s="37">
        <f>K40*4</f>
        <v>4.054438877610398E-2</v>
      </c>
      <c r="M40" s="32">
        <v>500000</v>
      </c>
      <c r="N40" s="33">
        <f>2.3%+P40</f>
        <v>4.0500000000000001E-2</v>
      </c>
      <c r="O40" s="35" t="s">
        <v>4</v>
      </c>
      <c r="P40" s="33">
        <v>1.7500000000000002E-2</v>
      </c>
      <c r="Q40" s="32">
        <v>500000</v>
      </c>
      <c r="R40" s="34">
        <v>42908</v>
      </c>
      <c r="S40" s="42">
        <f>(R40-B40)/365.2421875</f>
        <v>4.9994224722465832</v>
      </c>
      <c r="U40" s="7" t="s">
        <v>3</v>
      </c>
      <c r="V40" s="7">
        <v>4</v>
      </c>
      <c r="W40" s="43"/>
      <c r="X40" s="7" t="s">
        <v>2</v>
      </c>
    </row>
    <row r="41" spans="1:36">
      <c r="A41" s="7" t="s">
        <v>244</v>
      </c>
      <c r="B41" s="34">
        <v>41010</v>
      </c>
      <c r="C41" s="7" t="s">
        <v>239</v>
      </c>
      <c r="D41" s="52">
        <v>117000000</v>
      </c>
      <c r="E41" s="40" t="s">
        <v>7</v>
      </c>
      <c r="F41" s="7" t="s">
        <v>53</v>
      </c>
      <c r="G41" s="7" t="s">
        <v>5</v>
      </c>
      <c r="H41" s="36">
        <v>500000000</v>
      </c>
      <c r="I41" s="36">
        <v>45000</v>
      </c>
      <c r="J41" s="36">
        <f>I41/(H41/M41)</f>
        <v>45</v>
      </c>
      <c r="K41" s="41">
        <f>RATE(S41*4,N41/4*(Q41+J41),-M41,Q41+J41)</f>
        <v>2.8330956427825699E-2</v>
      </c>
      <c r="L41" s="37">
        <f>K41*4</f>
        <v>0.1133238257113028</v>
      </c>
      <c r="M41" s="32">
        <v>500000</v>
      </c>
      <c r="N41" s="33">
        <f>2.33%+P41</f>
        <v>0.1133</v>
      </c>
      <c r="O41" s="35" t="s">
        <v>4</v>
      </c>
      <c r="P41" s="33">
        <v>0.09</v>
      </c>
      <c r="Q41" s="32">
        <v>500000</v>
      </c>
      <c r="R41" s="34">
        <v>42836</v>
      </c>
      <c r="S41" s="42">
        <f>(R41-B41)/365.2421875</f>
        <v>4.9994224722465832</v>
      </c>
      <c r="U41" s="7" t="s">
        <v>3</v>
      </c>
      <c r="V41" s="7">
        <v>4</v>
      </c>
      <c r="W41" s="43"/>
      <c r="X41" s="7" t="s">
        <v>56</v>
      </c>
      <c r="AD41" s="7" t="s">
        <v>66</v>
      </c>
      <c r="AH41" s="7" t="s">
        <v>65</v>
      </c>
      <c r="AI41" s="7" t="s">
        <v>22</v>
      </c>
    </row>
    <row r="42" spans="1:36">
      <c r="A42" s="7" t="s">
        <v>243</v>
      </c>
      <c r="B42" s="34">
        <v>41156</v>
      </c>
      <c r="C42" s="7" t="s">
        <v>242</v>
      </c>
      <c r="D42" s="52">
        <f>2000000000*5.92</f>
        <v>11840000000</v>
      </c>
      <c r="E42" s="40" t="s">
        <v>7</v>
      </c>
      <c r="F42" s="7" t="s">
        <v>12</v>
      </c>
      <c r="G42" s="7" t="s">
        <v>5</v>
      </c>
      <c r="H42" s="36">
        <v>1000000000</v>
      </c>
      <c r="I42" s="36">
        <v>70000</v>
      </c>
      <c r="J42" s="36">
        <f>I42/(H42/M42)</f>
        <v>35</v>
      </c>
      <c r="K42" s="41">
        <f>RATE(S42*4,N42/4*(Q42+J42),-M42,Q42+J42)</f>
        <v>1.7653190568569611E-2</v>
      </c>
      <c r="L42" s="37">
        <f>K42*4</f>
        <v>7.0612762274278443E-2</v>
      </c>
      <c r="M42" s="32">
        <v>500000</v>
      </c>
      <c r="N42" s="33">
        <v>7.0599999999999996E-2</v>
      </c>
      <c r="O42" s="35" t="s">
        <v>4</v>
      </c>
      <c r="P42" s="33">
        <v>0.05</v>
      </c>
      <c r="Q42" s="32">
        <v>500000</v>
      </c>
      <c r="R42" s="34">
        <v>43712</v>
      </c>
      <c r="S42" s="42">
        <f>(R42-B42)/365.2421875</f>
        <v>6.9980962974054028</v>
      </c>
      <c r="U42" s="7" t="s">
        <v>3</v>
      </c>
      <c r="V42" s="7">
        <v>4</v>
      </c>
      <c r="W42" s="43"/>
      <c r="X42" s="7" t="s">
        <v>28</v>
      </c>
      <c r="AF42" s="7" t="s">
        <v>1</v>
      </c>
      <c r="AH42" s="7" t="s">
        <v>0</v>
      </c>
      <c r="AI42" s="7" t="s">
        <v>22</v>
      </c>
    </row>
    <row r="43" spans="1:36">
      <c r="A43" s="7" t="s">
        <v>241</v>
      </c>
      <c r="B43" s="34">
        <v>41159</v>
      </c>
      <c r="C43" s="7" t="s">
        <v>13</v>
      </c>
      <c r="D43" s="52">
        <v>4900000000</v>
      </c>
      <c r="E43" s="40" t="s">
        <v>7</v>
      </c>
      <c r="F43" s="7" t="s">
        <v>12</v>
      </c>
      <c r="G43" s="7" t="s">
        <v>5</v>
      </c>
      <c r="H43" s="36">
        <v>1000000000</v>
      </c>
      <c r="I43" s="36">
        <v>80000</v>
      </c>
      <c r="J43" s="36">
        <f>I43/(H43/M43)</f>
        <v>80</v>
      </c>
      <c r="K43" s="41">
        <f>RATE(S43*4,N43/4*(Q43+J43),-M43,Q43+J43)</f>
        <v>1.7552800411106552E-2</v>
      </c>
      <c r="L43" s="46">
        <f>K43*4</f>
        <v>7.0211201644426208E-2</v>
      </c>
      <c r="M43" s="32">
        <v>1000000</v>
      </c>
      <c r="N43" s="33">
        <v>7.0199999999999999E-2</v>
      </c>
      <c r="O43" s="35" t="s">
        <v>4</v>
      </c>
      <c r="P43" s="33">
        <v>0.05</v>
      </c>
      <c r="Q43" s="32">
        <v>1000000</v>
      </c>
      <c r="R43" s="34">
        <v>44811</v>
      </c>
      <c r="S43" s="42">
        <f>(R43-B43)/365.2421875</f>
        <v>9.9988449444931664</v>
      </c>
      <c r="U43" s="7" t="s">
        <v>3</v>
      </c>
      <c r="V43" s="7">
        <v>4</v>
      </c>
      <c r="W43" s="43"/>
      <c r="X43" s="7" t="s">
        <v>2</v>
      </c>
      <c r="AB43" s="7" t="s">
        <v>11</v>
      </c>
      <c r="AH43" s="7" t="s">
        <v>10</v>
      </c>
      <c r="AI43" s="7" t="s">
        <v>22</v>
      </c>
    </row>
    <row r="44" spans="1:36">
      <c r="A44" s="7" t="s">
        <v>240</v>
      </c>
      <c r="B44" s="34">
        <v>40966</v>
      </c>
      <c r="C44" s="7" t="s">
        <v>239</v>
      </c>
      <c r="D44" s="52">
        <v>117000000</v>
      </c>
      <c r="E44" s="40" t="s">
        <v>7</v>
      </c>
      <c r="F44" s="7" t="s">
        <v>53</v>
      </c>
      <c r="G44" s="7" t="s">
        <v>5</v>
      </c>
      <c r="H44" s="36">
        <v>400000000</v>
      </c>
      <c r="I44" s="36">
        <v>40000</v>
      </c>
      <c r="J44" s="36">
        <f>I44/(H44/M44)</f>
        <v>50</v>
      </c>
      <c r="K44" s="41">
        <f>RATE(S44*4,N44/4*(Q44+J44),-M44,Q44+J44)</f>
        <v>2.5734789067623106E-2</v>
      </c>
      <c r="L44" s="37">
        <f>K44*4</f>
        <v>0.10293915627049242</v>
      </c>
      <c r="M44" s="32">
        <v>500000</v>
      </c>
      <c r="N44" s="33">
        <v>0.10290000000000001</v>
      </c>
      <c r="O44" s="35" t="s">
        <v>4</v>
      </c>
      <c r="P44" s="33">
        <v>8.2500000000000004E-2</v>
      </c>
      <c r="Q44" s="32">
        <v>500000</v>
      </c>
      <c r="R44" s="34">
        <v>42062</v>
      </c>
      <c r="S44" s="42">
        <f>(R44-B44)/365.2421875</f>
        <v>3.0007486470877627</v>
      </c>
      <c r="U44" s="7" t="s">
        <v>3</v>
      </c>
      <c r="V44" s="7">
        <v>4</v>
      </c>
      <c r="W44" s="43"/>
      <c r="X44" s="7" t="s">
        <v>28</v>
      </c>
      <c r="AD44" s="7" t="s">
        <v>66</v>
      </c>
      <c r="AH44" s="7" t="s">
        <v>65</v>
      </c>
      <c r="AI44" s="7" t="s">
        <v>22</v>
      </c>
    </row>
    <row r="45" spans="1:36">
      <c r="A45" s="7" t="s">
        <v>238</v>
      </c>
      <c r="B45" s="34">
        <v>41172</v>
      </c>
      <c r="C45" s="7" t="s">
        <v>131</v>
      </c>
      <c r="D45" s="52">
        <v>2500000000</v>
      </c>
      <c r="E45" s="40" t="s">
        <v>7</v>
      </c>
      <c r="F45" s="7" t="s">
        <v>6</v>
      </c>
      <c r="G45" s="7" t="s">
        <v>5</v>
      </c>
      <c r="H45" s="36">
        <v>350000000</v>
      </c>
      <c r="I45" s="36">
        <v>140000</v>
      </c>
      <c r="J45" s="36">
        <f>I45/(H45/M45)</f>
        <v>400</v>
      </c>
      <c r="K45" s="41">
        <f>RATE(S45*4,N45/4*(Q45+J45),-M45,Q45+J45)</f>
        <v>7.3917201987053474E-3</v>
      </c>
      <c r="L45" s="37">
        <f>K45*4</f>
        <v>2.956688079482139E-2</v>
      </c>
      <c r="M45" s="32">
        <v>1000000</v>
      </c>
      <c r="N45" s="33">
        <f>1.92%+P45</f>
        <v>2.9399999999999999E-2</v>
      </c>
      <c r="O45" s="35" t="s">
        <v>4</v>
      </c>
      <c r="P45" s="33">
        <v>1.0200000000000001E-2</v>
      </c>
      <c r="Q45" s="32">
        <v>1000000</v>
      </c>
      <c r="R45" s="34">
        <v>42083</v>
      </c>
      <c r="S45" s="42">
        <f>(R45-B45)/365.2421875</f>
        <v>2.4942354174242261</v>
      </c>
      <c r="U45" s="7" t="s">
        <v>3</v>
      </c>
      <c r="V45" s="7">
        <v>4</v>
      </c>
      <c r="W45" s="43"/>
      <c r="X45" s="7" t="s">
        <v>2</v>
      </c>
      <c r="AB45" s="7" t="s">
        <v>24</v>
      </c>
      <c r="AH45" s="7" t="s">
        <v>23</v>
      </c>
      <c r="AI45" s="7" t="s">
        <v>22</v>
      </c>
    </row>
    <row r="46" spans="1:36">
      <c r="A46" s="7" t="s">
        <v>237</v>
      </c>
      <c r="B46" s="34">
        <v>41179</v>
      </c>
      <c r="C46" s="7" t="s">
        <v>26</v>
      </c>
      <c r="D46" s="52">
        <v>15800000000</v>
      </c>
      <c r="E46" s="40" t="s">
        <v>7</v>
      </c>
      <c r="F46" s="7" t="s">
        <v>25</v>
      </c>
      <c r="G46" s="7" t="s">
        <v>236</v>
      </c>
      <c r="H46" s="36">
        <v>500000000</v>
      </c>
      <c r="I46" s="36">
        <v>75000</v>
      </c>
      <c r="J46" s="36">
        <f>I46/(H46/M46)</f>
        <v>150</v>
      </c>
      <c r="K46" s="41">
        <f>RATE(S46*4,N46/4*(Q46+J46),-M46,Q46+J46)</f>
        <v>7.6287431419267164E-3</v>
      </c>
      <c r="L46" s="37">
        <f>K46*4</f>
        <v>3.0514972567706865E-2</v>
      </c>
      <c r="M46" s="32">
        <v>1000000</v>
      </c>
      <c r="N46" s="33">
        <v>3.0499999999999999E-2</v>
      </c>
      <c r="Q46" s="32">
        <v>1000000</v>
      </c>
      <c r="R46" s="34">
        <v>45562</v>
      </c>
      <c r="S46" s="42">
        <f>(R46-B46)/365.2421875</f>
        <v>12.000256679001518</v>
      </c>
      <c r="U46" s="7" t="s">
        <v>16</v>
      </c>
      <c r="V46" s="7">
        <v>1</v>
      </c>
      <c r="W46" s="43">
        <f>MDURATION(B46,R46,N46,L46,V46)</f>
        <v>9.9240626951246309</v>
      </c>
      <c r="X46" s="7" t="s">
        <v>2</v>
      </c>
      <c r="AB46" s="7" t="s">
        <v>24</v>
      </c>
      <c r="AH46" s="7" t="s">
        <v>23</v>
      </c>
      <c r="AI46" s="7" t="s">
        <v>22</v>
      </c>
      <c r="AJ46" s="7" t="s">
        <v>235</v>
      </c>
    </row>
    <row r="47" spans="1:36">
      <c r="A47" s="7" t="s">
        <v>234</v>
      </c>
      <c r="B47" s="34">
        <v>40983</v>
      </c>
      <c r="C47" s="7" t="s">
        <v>141</v>
      </c>
      <c r="D47" s="52">
        <f>850000000*5.92</f>
        <v>5032000000</v>
      </c>
      <c r="E47" s="40" t="s">
        <v>7</v>
      </c>
      <c r="F47" s="7" t="s">
        <v>53</v>
      </c>
      <c r="G47" s="7" t="s">
        <v>5</v>
      </c>
      <c r="H47" s="36">
        <v>500000000</v>
      </c>
      <c r="I47" s="36">
        <v>80000</v>
      </c>
      <c r="J47" s="36">
        <f>I47/(H47/M47)</f>
        <v>80</v>
      </c>
      <c r="K47" s="41">
        <f>RATE(S47*4,N47/4*(Q47+J47),-M47,Q47+J47)</f>
        <v>1.7059509014335939E-2</v>
      </c>
      <c r="L47" s="37">
        <f>K47*4</f>
        <v>6.8238036057343757E-2</v>
      </c>
      <c r="M47" s="32">
        <v>500000</v>
      </c>
      <c r="N47" s="33">
        <v>6.8199999999999997E-2</v>
      </c>
      <c r="O47" s="35" t="s">
        <v>4</v>
      </c>
      <c r="P47" s="33">
        <v>4.2500000000000003E-2</v>
      </c>
      <c r="Q47" s="32">
        <v>500000</v>
      </c>
      <c r="R47" s="34">
        <v>42809</v>
      </c>
      <c r="S47" s="42">
        <f>(R47-B47)/365.2421875</f>
        <v>4.9994224722465832</v>
      </c>
      <c r="U47" s="7" t="s">
        <v>3</v>
      </c>
      <c r="V47" s="7">
        <v>4</v>
      </c>
      <c r="W47" s="43"/>
      <c r="X47" s="7" t="s">
        <v>2</v>
      </c>
      <c r="Y47" s="7" t="s">
        <v>10</v>
      </c>
      <c r="AH47" s="7" t="s">
        <v>10</v>
      </c>
      <c r="AI47" s="7" t="s">
        <v>91</v>
      </c>
    </row>
    <row r="48" spans="1:36">
      <c r="A48" s="7" t="s">
        <v>233</v>
      </c>
      <c r="B48" s="34">
        <v>40872</v>
      </c>
      <c r="C48" s="7" t="s">
        <v>203</v>
      </c>
      <c r="D48" s="52">
        <v>3400000000</v>
      </c>
      <c r="E48" s="40" t="s">
        <v>19</v>
      </c>
      <c r="F48" s="7" t="s">
        <v>18</v>
      </c>
      <c r="G48" s="7" t="s">
        <v>57</v>
      </c>
      <c r="H48" s="36">
        <v>1000000000</v>
      </c>
      <c r="J48" s="36">
        <f>I48/(H48/M48)</f>
        <v>0</v>
      </c>
      <c r="K48" s="41"/>
      <c r="M48" s="32">
        <v>500000</v>
      </c>
      <c r="N48" s="33">
        <f>3.24%+P48</f>
        <v>8.2400000000000001E-2</v>
      </c>
      <c r="O48" s="35" t="s">
        <v>4</v>
      </c>
      <c r="P48" s="33">
        <v>0.05</v>
      </c>
      <c r="Q48" s="32">
        <v>500000</v>
      </c>
      <c r="S48" s="42"/>
      <c r="U48" s="7" t="s">
        <v>3</v>
      </c>
      <c r="V48" s="7">
        <v>4</v>
      </c>
      <c r="W48" s="43"/>
      <c r="X48" s="7" t="s">
        <v>56</v>
      </c>
      <c r="Y48" s="7" t="s">
        <v>112</v>
      </c>
      <c r="AH48" s="7" t="s">
        <v>112</v>
      </c>
      <c r="AI48" s="7" t="s">
        <v>91</v>
      </c>
    </row>
    <row r="49" spans="1:35">
      <c r="A49" s="7" t="s">
        <v>232</v>
      </c>
      <c r="B49" s="34">
        <v>40879</v>
      </c>
      <c r="C49" s="7" t="s">
        <v>203</v>
      </c>
      <c r="D49" s="52">
        <v>3400000000</v>
      </c>
      <c r="E49" s="40" t="s">
        <v>19</v>
      </c>
      <c r="F49" s="7" t="s">
        <v>18</v>
      </c>
      <c r="G49" s="7" t="s">
        <v>5</v>
      </c>
      <c r="K49" s="41">
        <f>RATE(S49*4,N49/4*(Q49+J49),-M49,Q49+J49)</f>
        <v>1.6650000000000043E-2</v>
      </c>
      <c r="L49" s="37">
        <f>K49*4</f>
        <v>6.6600000000000173E-2</v>
      </c>
      <c r="M49" s="32">
        <v>500000</v>
      </c>
      <c r="N49" s="33">
        <f>3.16%+P49</f>
        <v>6.6600000000000006E-2</v>
      </c>
      <c r="O49" s="35" t="s">
        <v>4</v>
      </c>
      <c r="P49" s="33">
        <v>3.5000000000000003E-2</v>
      </c>
      <c r="Q49" s="32">
        <v>500000</v>
      </c>
      <c r="R49" s="34">
        <v>44532</v>
      </c>
      <c r="S49" s="42">
        <f>(R49-B49)/365.2421875</f>
        <v>10.001582853842699</v>
      </c>
      <c r="U49" s="7" t="s">
        <v>3</v>
      </c>
      <c r="V49" s="7">
        <v>4</v>
      </c>
      <c r="W49" s="43"/>
      <c r="X49" s="7" t="s">
        <v>2</v>
      </c>
      <c r="Y49" s="7" t="s">
        <v>112</v>
      </c>
      <c r="AH49" s="7" t="s">
        <v>112</v>
      </c>
      <c r="AI49" s="7" t="s">
        <v>91</v>
      </c>
    </row>
    <row r="50" spans="1:35">
      <c r="A50" s="7" t="s">
        <v>231</v>
      </c>
      <c r="B50" s="34">
        <v>41164</v>
      </c>
      <c r="C50" s="7" t="s">
        <v>230</v>
      </c>
      <c r="D50" s="52">
        <v>6500000000</v>
      </c>
      <c r="E50" s="40" t="s">
        <v>7</v>
      </c>
      <c r="F50" s="7" t="s">
        <v>53</v>
      </c>
      <c r="G50" s="7" t="s">
        <v>5</v>
      </c>
      <c r="H50" s="36">
        <v>700000000</v>
      </c>
      <c r="I50" s="36">
        <v>25000</v>
      </c>
      <c r="J50" s="36">
        <f>I50/(H50/M50)</f>
        <v>35.714285714285715</v>
      </c>
      <c r="K50" s="41">
        <f>RATE(S50*4,N50/4*(Q50+J50),-M50,Q50+J50)</f>
        <v>2.2426731701512648E-2</v>
      </c>
      <c r="L50" s="37">
        <f>K50*4</f>
        <v>8.9706926806050594E-2</v>
      </c>
      <c r="M50" s="32">
        <v>1000000</v>
      </c>
      <c r="N50" s="33">
        <v>8.9700000000000002E-2</v>
      </c>
      <c r="O50" s="35" t="s">
        <v>4</v>
      </c>
      <c r="P50" s="33">
        <v>7.0000000000000007E-2</v>
      </c>
      <c r="Q50" s="32">
        <v>1000000</v>
      </c>
      <c r="R50" s="34">
        <v>43720</v>
      </c>
      <c r="S50" s="42">
        <f>(R50-B50)/365.2421875</f>
        <v>6.9980962974054028</v>
      </c>
      <c r="U50" s="7" t="s">
        <v>3</v>
      </c>
      <c r="V50" s="7">
        <v>4</v>
      </c>
      <c r="W50" s="43"/>
      <c r="X50" s="7" t="s">
        <v>2</v>
      </c>
      <c r="AD50" s="7" t="s">
        <v>52</v>
      </c>
      <c r="AH50" s="7" t="s">
        <v>51</v>
      </c>
      <c r="AI50" s="7" t="s">
        <v>22</v>
      </c>
    </row>
    <row r="51" spans="1:35">
      <c r="A51" s="7" t="s">
        <v>229</v>
      </c>
      <c r="B51" s="34">
        <v>41191</v>
      </c>
      <c r="C51" s="7" t="s">
        <v>161</v>
      </c>
      <c r="D51" s="52">
        <v>1100000000</v>
      </c>
      <c r="E51" s="40" t="s">
        <v>19</v>
      </c>
      <c r="F51" s="7" t="s">
        <v>18</v>
      </c>
      <c r="G51" s="7" t="s">
        <v>57</v>
      </c>
      <c r="H51" s="36">
        <v>500000000</v>
      </c>
      <c r="J51" s="36">
        <f>I51/(H51/M51)</f>
        <v>0</v>
      </c>
      <c r="K51" s="41"/>
      <c r="M51" s="32">
        <v>1000000</v>
      </c>
      <c r="N51" s="33">
        <f>1.93%+P51</f>
        <v>6.6799999999999998E-2</v>
      </c>
      <c r="O51" s="35" t="s">
        <v>4</v>
      </c>
      <c r="P51" s="33">
        <v>4.7500000000000001E-2</v>
      </c>
      <c r="Q51" s="32">
        <v>1000000</v>
      </c>
      <c r="S51" s="42"/>
      <c r="U51" s="7" t="s">
        <v>3</v>
      </c>
      <c r="V51" s="7">
        <v>4</v>
      </c>
      <c r="W51" s="43"/>
      <c r="X51" s="7" t="s">
        <v>56</v>
      </c>
      <c r="Y51" s="7" t="s">
        <v>15</v>
      </c>
      <c r="AH51" s="7" t="s">
        <v>15</v>
      </c>
      <c r="AI51" s="7" t="s">
        <v>22</v>
      </c>
    </row>
    <row r="52" spans="1:35">
      <c r="A52" s="7" t="s">
        <v>228</v>
      </c>
      <c r="B52" s="34">
        <v>41087</v>
      </c>
      <c r="C52" s="7" t="s">
        <v>227</v>
      </c>
      <c r="D52" s="52">
        <v>4200000000</v>
      </c>
      <c r="E52" s="40" t="s">
        <v>7</v>
      </c>
      <c r="F52" s="7" t="s">
        <v>25</v>
      </c>
      <c r="G52" s="7" t="s">
        <v>17</v>
      </c>
      <c r="H52" s="36">
        <v>1000000000</v>
      </c>
      <c r="I52" s="36">
        <v>70000</v>
      </c>
      <c r="J52" s="36">
        <f>I52/(H52/M52)</f>
        <v>35</v>
      </c>
      <c r="K52" s="41">
        <f>RATE(S52*4,N52/4*(Q52+J52),-M52,Q52+J52)</f>
        <v>1.2002958896226013E-2</v>
      </c>
      <c r="L52" s="37">
        <f>K52*4</f>
        <v>4.8011835584904052E-2</v>
      </c>
      <c r="M52" s="32">
        <v>500000</v>
      </c>
      <c r="N52" s="33">
        <v>4.8000000000000001E-2</v>
      </c>
      <c r="Q52" s="32">
        <v>500000</v>
      </c>
      <c r="R52" s="34">
        <v>43643</v>
      </c>
      <c r="S52" s="42">
        <f>(R52-B52)/365.2421875</f>
        <v>6.9980962974054028</v>
      </c>
      <c r="U52" s="7" t="s">
        <v>16</v>
      </c>
      <c r="V52" s="7">
        <v>1</v>
      </c>
      <c r="W52" s="43">
        <f>MDURATION(B52,R52,N52,L52,V52)</f>
        <v>5.8284482100189408</v>
      </c>
      <c r="X52" s="7" t="s">
        <v>2</v>
      </c>
    </row>
    <row r="53" spans="1:35">
      <c r="A53" s="7" t="s">
        <v>226</v>
      </c>
      <c r="B53" s="34">
        <v>40963</v>
      </c>
      <c r="C53" s="7" t="s">
        <v>224</v>
      </c>
      <c r="D53" s="52">
        <f>41000000000*0.85</f>
        <v>34850000000</v>
      </c>
      <c r="E53" s="40" t="s">
        <v>7</v>
      </c>
      <c r="F53" s="7" t="s">
        <v>123</v>
      </c>
      <c r="G53" s="7" t="s">
        <v>5</v>
      </c>
      <c r="H53" s="36">
        <v>1000000000</v>
      </c>
      <c r="I53" s="36">
        <v>65000</v>
      </c>
      <c r="J53" s="36">
        <f>I53/(H53/M53)</f>
        <v>65</v>
      </c>
      <c r="K53" s="41">
        <f>RATE(S53*4,N53/4*(Q53+J53),-M53,Q53+J53)</f>
        <v>1.0930807456264421E-2</v>
      </c>
      <c r="L53" s="37">
        <f>K53*4</f>
        <v>4.3723229825057684E-2</v>
      </c>
      <c r="M53" s="32">
        <v>1000000</v>
      </c>
      <c r="N53" s="33">
        <f>P53+2.67%</f>
        <v>4.3700000000000003E-2</v>
      </c>
      <c r="O53" s="35" t="s">
        <v>4</v>
      </c>
      <c r="P53" s="33">
        <v>1.7000000000000001E-2</v>
      </c>
      <c r="Q53" s="32">
        <v>1000000</v>
      </c>
      <c r="R53" s="34">
        <v>42059</v>
      </c>
      <c r="S53" s="42">
        <f>(R53-B53)/365.2421875</f>
        <v>3.0007486470877627</v>
      </c>
      <c r="U53" s="7" t="s">
        <v>3</v>
      </c>
      <c r="V53" s="7">
        <v>4</v>
      </c>
      <c r="W53" s="43"/>
      <c r="X53" s="7" t="s">
        <v>28</v>
      </c>
      <c r="AD53" s="7" t="s">
        <v>24</v>
      </c>
      <c r="AH53" s="7" t="s">
        <v>23</v>
      </c>
      <c r="AI53" s="7" t="s">
        <v>22</v>
      </c>
    </row>
    <row r="54" spans="1:35">
      <c r="A54" s="7" t="s">
        <v>225</v>
      </c>
      <c r="B54" s="34">
        <v>40963</v>
      </c>
      <c r="C54" s="7" t="s">
        <v>224</v>
      </c>
      <c r="D54" s="52">
        <f>41000000000*0.85</f>
        <v>34850000000</v>
      </c>
      <c r="E54" s="40" t="s">
        <v>7</v>
      </c>
      <c r="F54" s="7" t="s">
        <v>123</v>
      </c>
      <c r="G54" s="7" t="s">
        <v>5</v>
      </c>
      <c r="H54" s="36">
        <v>1000000000</v>
      </c>
      <c r="I54" s="36">
        <v>75000</v>
      </c>
      <c r="J54" s="36">
        <f>I54/(H54/M54)</f>
        <v>75</v>
      </c>
      <c r="K54" s="41">
        <f>RATE(S54*4,N54/4*(Q54+J54),-M54,Q54+J54)</f>
        <v>1.100419635773653E-2</v>
      </c>
      <c r="L54" s="37">
        <f>K54*4</f>
        <v>4.4016785430946122E-2</v>
      </c>
      <c r="M54" s="32">
        <v>1000000</v>
      </c>
      <c r="N54" s="33">
        <v>4.3999999999999997E-2</v>
      </c>
      <c r="O54" s="35" t="s">
        <v>4</v>
      </c>
      <c r="P54" s="33">
        <v>2.35E-2</v>
      </c>
      <c r="Q54" s="32">
        <v>1000000</v>
      </c>
      <c r="R54" s="34">
        <v>42790</v>
      </c>
      <c r="S54" s="42">
        <f>(R54-B54)/365.2421875</f>
        <v>5.0021603815961155</v>
      </c>
      <c r="U54" s="7" t="s">
        <v>3</v>
      </c>
      <c r="V54" s="7">
        <v>4</v>
      </c>
      <c r="W54" s="43"/>
      <c r="X54" s="7" t="s">
        <v>28</v>
      </c>
      <c r="AD54" s="7" t="s">
        <v>24</v>
      </c>
      <c r="AH54" s="7" t="s">
        <v>23</v>
      </c>
      <c r="AI54" s="7" t="s">
        <v>22</v>
      </c>
    </row>
    <row r="55" spans="1:35">
      <c r="A55" s="7" t="s">
        <v>223</v>
      </c>
      <c r="B55" s="34">
        <v>41118</v>
      </c>
      <c r="C55" s="7" t="s">
        <v>222</v>
      </c>
      <c r="D55" s="52">
        <f>182000000*5.92</f>
        <v>1077440000</v>
      </c>
      <c r="E55" s="40" t="s">
        <v>7</v>
      </c>
      <c r="F55" s="7" t="s">
        <v>53</v>
      </c>
      <c r="G55" s="7" t="s">
        <v>5</v>
      </c>
      <c r="H55" s="36">
        <v>600000000</v>
      </c>
      <c r="I55" s="36">
        <v>70000</v>
      </c>
      <c r="J55" s="36">
        <f>I55/(H55/M55)</f>
        <v>58.333333333333336</v>
      </c>
      <c r="K55" s="41">
        <f>RATE(S55*4,N55/4*(Q55+J55),-M55,Q55+J55)</f>
        <v>2.1982271987371953E-2</v>
      </c>
      <c r="L55" s="37">
        <f>K55*4</f>
        <v>8.7929087949487811E-2</v>
      </c>
      <c r="M55" s="32">
        <v>500000</v>
      </c>
      <c r="N55" s="33">
        <v>8.7900000000000006E-2</v>
      </c>
      <c r="O55" s="35" t="s">
        <v>4</v>
      </c>
      <c r="P55" s="33">
        <v>6.5000000000000002E-2</v>
      </c>
      <c r="Q55" s="32">
        <v>500000</v>
      </c>
      <c r="R55" s="34">
        <v>42944</v>
      </c>
      <c r="S55" s="42">
        <f>(R55-B55)/365.2421875</f>
        <v>4.9994224722465832</v>
      </c>
      <c r="U55" s="7" t="s">
        <v>3</v>
      </c>
      <c r="V55" s="7">
        <v>4</v>
      </c>
      <c r="W55" s="43"/>
      <c r="X55" s="7" t="s">
        <v>56</v>
      </c>
      <c r="AB55" s="7" t="s">
        <v>88</v>
      </c>
      <c r="AH55" s="7" t="s">
        <v>80</v>
      </c>
      <c r="AI55" s="7" t="s">
        <v>22</v>
      </c>
    </row>
    <row r="56" spans="1:35">
      <c r="A56" s="7" t="s">
        <v>221</v>
      </c>
      <c r="B56" s="34">
        <v>41199</v>
      </c>
      <c r="C56" s="7" t="s">
        <v>166</v>
      </c>
      <c r="D56" s="52">
        <v>5300000000</v>
      </c>
      <c r="E56" s="40" t="s">
        <v>7</v>
      </c>
      <c r="F56" s="7" t="s">
        <v>25</v>
      </c>
      <c r="G56" s="7" t="s">
        <v>17</v>
      </c>
      <c r="H56" s="36">
        <v>1000000000</v>
      </c>
      <c r="I56" s="36">
        <v>30000</v>
      </c>
      <c r="J56" s="36">
        <f>I56/(H56/M56)</f>
        <v>30</v>
      </c>
      <c r="K56" s="41">
        <f>RATE(S56*4,N56/4*(Q56+J56),-M56,Q56+J56)</f>
        <v>1.2000948825202919E-2</v>
      </c>
      <c r="L56" s="37">
        <f>K56*4</f>
        <v>4.8003795300811676E-2</v>
      </c>
      <c r="M56" s="32">
        <v>1000000</v>
      </c>
      <c r="N56" s="33">
        <v>4.8000000000000001E-2</v>
      </c>
      <c r="Q56" s="32">
        <v>1000000</v>
      </c>
      <c r="R56" s="34">
        <v>44851</v>
      </c>
      <c r="S56" s="42">
        <f>(R56-B56)/365.2421875</f>
        <v>9.9988449444931664</v>
      </c>
      <c r="U56" s="7" t="s">
        <v>16</v>
      </c>
      <c r="V56" s="7">
        <v>1</v>
      </c>
      <c r="W56" s="43">
        <f>MDURATION(B56,R56,N56,L56,V56)</f>
        <v>7.7972276715858539</v>
      </c>
      <c r="X56" s="7" t="s">
        <v>2</v>
      </c>
    </row>
    <row r="57" spans="1:35">
      <c r="A57" s="7" t="s">
        <v>220</v>
      </c>
      <c r="B57" s="34">
        <v>41066</v>
      </c>
      <c r="C57" s="7" t="s">
        <v>218</v>
      </c>
      <c r="D57" s="52">
        <v>36500000000</v>
      </c>
      <c r="E57" s="40" t="s">
        <v>7</v>
      </c>
      <c r="F57" s="7" t="s">
        <v>53</v>
      </c>
      <c r="G57" s="7" t="s">
        <v>5</v>
      </c>
      <c r="H57" s="36">
        <v>2500000000</v>
      </c>
      <c r="I57" s="36">
        <v>155000</v>
      </c>
      <c r="J57" s="36">
        <f>I57/(H57/M57)</f>
        <v>31</v>
      </c>
      <c r="K57" s="41">
        <f>RATE(S57*4,N57/4*(Q57+J57),-M57,Q57+J57)</f>
        <v>1.5728637359810768E-2</v>
      </c>
      <c r="L57" s="37">
        <f>K57*4</f>
        <v>6.2914549439243073E-2</v>
      </c>
      <c r="M57" s="32">
        <v>500000</v>
      </c>
      <c r="N57" s="33">
        <v>6.2899999999999998E-2</v>
      </c>
      <c r="O57" s="35" t="s">
        <v>4</v>
      </c>
      <c r="P57" s="33">
        <v>4.2500000000000003E-2</v>
      </c>
      <c r="Q57" s="32">
        <v>500000</v>
      </c>
      <c r="R57" s="34">
        <v>42892</v>
      </c>
      <c r="S57" s="42">
        <f>(R57-B57)/365.2421875</f>
        <v>4.9994224722465832</v>
      </c>
      <c r="U57" s="7" t="s">
        <v>3</v>
      </c>
      <c r="V57" s="7">
        <v>4</v>
      </c>
      <c r="W57" s="43"/>
      <c r="X57" s="7" t="s">
        <v>56</v>
      </c>
      <c r="Z57" s="7" t="s">
        <v>11</v>
      </c>
      <c r="AH57" s="7" t="s">
        <v>10</v>
      </c>
      <c r="AI57" s="7" t="s">
        <v>22</v>
      </c>
    </row>
    <row r="58" spans="1:35">
      <c r="A58" s="7" t="s">
        <v>219</v>
      </c>
      <c r="B58" s="34">
        <v>41191</v>
      </c>
      <c r="C58" s="7" t="s">
        <v>218</v>
      </c>
      <c r="D58" s="52">
        <v>36500000000</v>
      </c>
      <c r="E58" s="40" t="s">
        <v>7</v>
      </c>
      <c r="F58" s="7" t="s">
        <v>53</v>
      </c>
      <c r="G58" s="7" t="s">
        <v>5</v>
      </c>
      <c r="H58" s="36">
        <v>1000000000</v>
      </c>
      <c r="I58" s="36">
        <v>30000</v>
      </c>
      <c r="J58" s="36">
        <f>I58/(H58/M58)</f>
        <v>30</v>
      </c>
      <c r="K58" s="41">
        <f>RATE(S58*4,N58/4*(Q58+J58),-M58,Q58+J58)</f>
        <v>1.5376326913801551E-2</v>
      </c>
      <c r="L58" s="37">
        <f>K58*4</f>
        <v>6.1505307655206204E-2</v>
      </c>
      <c r="M58" s="32">
        <v>1000000</v>
      </c>
      <c r="N58" s="33">
        <v>6.1499999999999999E-2</v>
      </c>
      <c r="O58" s="35" t="s">
        <v>4</v>
      </c>
      <c r="P58" s="33">
        <v>4.2000000000000003E-2</v>
      </c>
      <c r="Q58" s="32">
        <v>1000000</v>
      </c>
      <c r="R58" s="34">
        <v>43747</v>
      </c>
      <c r="S58" s="42">
        <f>(R58-B58)/365.2421875</f>
        <v>6.9980962974054028</v>
      </c>
      <c r="U58" s="7" t="s">
        <v>3</v>
      </c>
      <c r="V58" s="7">
        <v>4</v>
      </c>
      <c r="W58" s="43"/>
      <c r="X58" s="7" t="s">
        <v>2</v>
      </c>
      <c r="Z58" s="7" t="s">
        <v>11</v>
      </c>
      <c r="AH58" s="7" t="s">
        <v>10</v>
      </c>
      <c r="AI58" s="7" t="s">
        <v>22</v>
      </c>
    </row>
    <row r="59" spans="1:35">
      <c r="A59" s="7" t="s">
        <v>217</v>
      </c>
      <c r="B59" s="34">
        <v>41227</v>
      </c>
      <c r="C59" s="7" t="s">
        <v>26</v>
      </c>
      <c r="D59" s="52">
        <v>15800000000</v>
      </c>
      <c r="E59" s="40" t="s">
        <v>7</v>
      </c>
      <c r="F59" s="7" t="s">
        <v>25</v>
      </c>
      <c r="G59" s="7" t="s">
        <v>5</v>
      </c>
      <c r="H59" s="36">
        <v>750000000</v>
      </c>
      <c r="I59" s="36">
        <v>20000</v>
      </c>
      <c r="J59" s="36">
        <f>I59/(H59/M59)</f>
        <v>13.333333333333334</v>
      </c>
      <c r="K59" s="41">
        <f>RATE(S59*4,N59/4*(Q59+J59),-M59,Q59+J59)</f>
        <v>7.1034428920394056E-3</v>
      </c>
      <c r="L59" s="37">
        <f>K59*4</f>
        <v>2.8413771568157623E-2</v>
      </c>
      <c r="M59" s="32">
        <v>500000</v>
      </c>
      <c r="N59" s="33">
        <f>1.91%+P59</f>
        <v>2.8399999999999998E-2</v>
      </c>
      <c r="O59" s="35" t="s">
        <v>4</v>
      </c>
      <c r="P59" s="33">
        <v>9.2999999999999992E-3</v>
      </c>
      <c r="Q59" s="32">
        <v>500000</v>
      </c>
      <c r="R59" s="34">
        <v>41957</v>
      </c>
      <c r="S59" s="42">
        <f>(R59-B59)/365.2421875</f>
        <v>1.9986738251588201</v>
      </c>
      <c r="U59" s="7" t="s">
        <v>3</v>
      </c>
      <c r="V59" s="7">
        <v>4</v>
      </c>
      <c r="W59" s="43"/>
      <c r="X59" s="7" t="s">
        <v>2</v>
      </c>
      <c r="AB59" s="7" t="s">
        <v>24</v>
      </c>
      <c r="AH59" s="7" t="s">
        <v>23</v>
      </c>
      <c r="AI59" s="7" t="s">
        <v>22</v>
      </c>
    </row>
    <row r="60" spans="1:35">
      <c r="A60" s="7" t="s">
        <v>216</v>
      </c>
      <c r="B60" s="34">
        <v>41185</v>
      </c>
      <c r="C60" s="7" t="s">
        <v>215</v>
      </c>
      <c r="D60" s="52">
        <f>110000000*5.92</f>
        <v>651200000</v>
      </c>
      <c r="E60" s="40" t="s">
        <v>7</v>
      </c>
      <c r="F60" s="7" t="s">
        <v>53</v>
      </c>
      <c r="G60" s="7" t="s">
        <v>5</v>
      </c>
      <c r="H60" s="36">
        <v>750000000</v>
      </c>
      <c r="I60" s="36">
        <v>70000</v>
      </c>
      <c r="J60" s="36">
        <f>I60/(H60/M60)</f>
        <v>93.333333333333329</v>
      </c>
      <c r="K60" s="41">
        <f>RATE(S60*4,N60/4*(Q60+J60),-M60,Q60+J60)</f>
        <v>1.9955705525663184E-2</v>
      </c>
      <c r="L60" s="37">
        <f>K60*4</f>
        <v>7.9822822102652735E-2</v>
      </c>
      <c r="M60" s="32">
        <v>1000000</v>
      </c>
      <c r="N60" s="33">
        <v>7.9799999999999996E-2</v>
      </c>
      <c r="O60" s="35" t="s">
        <v>4</v>
      </c>
      <c r="P60" s="33">
        <v>0.06</v>
      </c>
      <c r="Q60" s="32">
        <v>1000000</v>
      </c>
      <c r="R60" s="34">
        <v>43011</v>
      </c>
      <c r="S60" s="42">
        <f>(R60-B60)/365.2421875</f>
        <v>4.9994224722465832</v>
      </c>
      <c r="U60" s="7" t="s">
        <v>3</v>
      </c>
      <c r="V60" s="7">
        <v>4</v>
      </c>
      <c r="W60" s="43"/>
      <c r="X60" s="7" t="s">
        <v>56</v>
      </c>
      <c r="Y60" s="7" t="s">
        <v>23</v>
      </c>
      <c r="AH60" s="7" t="s">
        <v>23</v>
      </c>
      <c r="AI60" s="7" t="s">
        <v>22</v>
      </c>
    </row>
    <row r="61" spans="1:35">
      <c r="A61" s="7" t="s">
        <v>214</v>
      </c>
      <c r="B61" s="34">
        <v>41222</v>
      </c>
      <c r="C61" s="7" t="s">
        <v>143</v>
      </c>
      <c r="D61" s="52">
        <v>1000000000</v>
      </c>
      <c r="E61" s="40" t="s">
        <v>7</v>
      </c>
      <c r="F61" s="7" t="s">
        <v>6</v>
      </c>
      <c r="G61" s="7" t="s">
        <v>5</v>
      </c>
      <c r="H61" s="36">
        <v>1500000000</v>
      </c>
      <c r="I61" s="36">
        <v>25000</v>
      </c>
      <c r="J61" s="36">
        <f>I61/(H61/M61)</f>
        <v>16.666666666666668</v>
      </c>
      <c r="K61" s="41">
        <f>RATE(S61*4,N61/4*(Q61+J61),-M61,Q61+J61)</f>
        <v>7.8014612221598773E-3</v>
      </c>
      <c r="L61" s="37">
        <f>K61*4</f>
        <v>3.1205844888639509E-2</v>
      </c>
      <c r="M61" s="32">
        <v>1000000</v>
      </c>
      <c r="N61" s="33">
        <v>3.1199999999999999E-2</v>
      </c>
      <c r="O61" s="35" t="s">
        <v>4</v>
      </c>
      <c r="P61" s="33">
        <v>1.2200000000000001E-2</v>
      </c>
      <c r="Q61" s="32">
        <v>1000000</v>
      </c>
      <c r="R61" s="34">
        <v>42317</v>
      </c>
      <c r="S61" s="42">
        <f>(R61-B61)/365.2421875</f>
        <v>2.9980107377382303</v>
      </c>
      <c r="U61" s="7" t="s">
        <v>3</v>
      </c>
      <c r="V61" s="7">
        <v>4</v>
      </c>
      <c r="W61" s="43"/>
      <c r="X61" s="7" t="s">
        <v>28</v>
      </c>
      <c r="AB61" s="7" t="s">
        <v>37</v>
      </c>
      <c r="AH61" s="7" t="s">
        <v>36</v>
      </c>
    </row>
    <row r="62" spans="1:35">
      <c r="A62" s="7" t="s">
        <v>213</v>
      </c>
      <c r="B62" s="34">
        <v>41194</v>
      </c>
      <c r="C62" s="7" t="s">
        <v>212</v>
      </c>
      <c r="D62" s="53">
        <f>300000000*5.92</f>
        <v>1776000000</v>
      </c>
      <c r="E62" s="40" t="s">
        <v>7</v>
      </c>
      <c r="F62" s="7" t="s">
        <v>53</v>
      </c>
      <c r="G62" s="7" t="s">
        <v>5</v>
      </c>
      <c r="H62" s="36">
        <v>1300000000</v>
      </c>
      <c r="I62" s="36">
        <v>80000</v>
      </c>
      <c r="J62" s="36">
        <f>I62/(H62/M62)</f>
        <v>61.53846153846154</v>
      </c>
      <c r="K62" s="41">
        <f>RATE(S62*4,N62/4*(Q62+J62),-M62,Q62+J62)</f>
        <v>1.777868342669113E-2</v>
      </c>
      <c r="L62" s="37">
        <f>K62*4</f>
        <v>7.1114733706764521E-2</v>
      </c>
      <c r="M62" s="32">
        <v>1000000</v>
      </c>
      <c r="N62" s="33">
        <v>7.1099999999999997E-2</v>
      </c>
      <c r="O62" s="35" t="s">
        <v>4</v>
      </c>
      <c r="P62" s="33">
        <v>5.1999999999999998E-2</v>
      </c>
      <c r="Q62" s="32">
        <v>1000000</v>
      </c>
      <c r="R62" s="34">
        <v>43020</v>
      </c>
      <c r="S62" s="42">
        <f>(R62-B62)/365.2421875</f>
        <v>4.9994224722465832</v>
      </c>
      <c r="U62" s="7" t="s">
        <v>3</v>
      </c>
      <c r="V62" s="7">
        <v>4</v>
      </c>
      <c r="W62" s="43"/>
      <c r="X62" s="7" t="s">
        <v>28</v>
      </c>
    </row>
    <row r="63" spans="1:35">
      <c r="A63" s="7" t="s">
        <v>211</v>
      </c>
      <c r="B63" s="34">
        <v>41194</v>
      </c>
      <c r="C63" s="7" t="s">
        <v>210</v>
      </c>
      <c r="D63" s="52">
        <v>1200000000</v>
      </c>
      <c r="E63" s="40" t="s">
        <v>7</v>
      </c>
      <c r="F63" s="7" t="s">
        <v>25</v>
      </c>
      <c r="G63" s="7" t="s">
        <v>17</v>
      </c>
      <c r="H63" s="36">
        <v>300000000</v>
      </c>
      <c r="I63" s="36">
        <v>165000</v>
      </c>
      <c r="J63" s="36">
        <f>I63/(H63/M63)</f>
        <v>550</v>
      </c>
      <c r="K63" s="41">
        <f>RATE(S63*4,N63/4*(Q63+J63),-M63,Q63+J63)</f>
        <v>1.1022937450941057E-2</v>
      </c>
      <c r="L63" s="37">
        <f>K63*4</f>
        <v>4.4091749803764228E-2</v>
      </c>
      <c r="M63" s="32">
        <v>1000000</v>
      </c>
      <c r="N63" s="33">
        <v>4.3999999999999997E-2</v>
      </c>
      <c r="Q63" s="32">
        <v>1000000</v>
      </c>
      <c r="R63" s="34">
        <v>43749</v>
      </c>
      <c r="S63" s="42">
        <f>(R63-B63)/365.2421875</f>
        <v>6.9953583880558705</v>
      </c>
      <c r="U63" s="7" t="s">
        <v>16</v>
      </c>
      <c r="V63" s="7">
        <v>1</v>
      </c>
      <c r="W63" s="43">
        <f>MDURATION(B63,R63,N63,L63,V63)</f>
        <v>5.9108956889457476</v>
      </c>
      <c r="X63" s="7" t="s">
        <v>2</v>
      </c>
    </row>
    <row r="64" spans="1:35">
      <c r="A64" s="7" t="s">
        <v>209</v>
      </c>
      <c r="B64" s="34">
        <v>41164</v>
      </c>
      <c r="C64" s="7" t="s">
        <v>138</v>
      </c>
      <c r="D64" s="52">
        <v>10700000000</v>
      </c>
      <c r="E64" s="40" t="s">
        <v>7</v>
      </c>
      <c r="F64" s="7" t="s">
        <v>25</v>
      </c>
      <c r="G64" s="7" t="s">
        <v>17</v>
      </c>
      <c r="H64" s="36">
        <v>1000000000</v>
      </c>
      <c r="I64" s="36">
        <v>115000</v>
      </c>
      <c r="J64" s="36">
        <f>I64/(H64/M64)</f>
        <v>57.5</v>
      </c>
      <c r="K64" s="41">
        <f>RATE(S64*4,N64/4*(Q64+J64),-M64,Q64+J64)</f>
        <v>1.0254746419444266E-2</v>
      </c>
      <c r="L64" s="37">
        <f>K64*4</f>
        <v>4.1018985677777065E-2</v>
      </c>
      <c r="M64" s="32">
        <v>500000</v>
      </c>
      <c r="N64" s="33">
        <v>4.1000000000000002E-2</v>
      </c>
      <c r="Q64" s="32">
        <v>500000</v>
      </c>
      <c r="R64" s="34">
        <v>43720</v>
      </c>
      <c r="S64" s="42">
        <f>(R64-B64)/365.2421875</f>
        <v>6.9980962974054028</v>
      </c>
      <c r="U64" s="7" t="s">
        <v>16</v>
      </c>
      <c r="V64" s="7">
        <v>1</v>
      </c>
      <c r="W64" s="43">
        <f>MDURATION(B64,R64,N64,L64,V64)</f>
        <v>5.9797780853696167</v>
      </c>
      <c r="X64" s="7" t="s">
        <v>2</v>
      </c>
    </row>
    <row r="65" spans="1:35">
      <c r="A65" s="7" t="s">
        <v>208</v>
      </c>
      <c r="B65" s="34">
        <v>41163</v>
      </c>
      <c r="C65" s="7" t="s">
        <v>207</v>
      </c>
      <c r="D65" s="52">
        <v>15100000000</v>
      </c>
      <c r="E65" s="40" t="s">
        <v>7</v>
      </c>
      <c r="F65" s="7" t="s">
        <v>12</v>
      </c>
      <c r="G65" s="7" t="s">
        <v>5</v>
      </c>
      <c r="H65" s="36">
        <v>1000000000</v>
      </c>
      <c r="I65" s="36">
        <v>150000</v>
      </c>
      <c r="J65" s="36">
        <f>I65/(H65/M65)</f>
        <v>150</v>
      </c>
      <c r="K65" s="41">
        <f>RATE(S65*4,N65/4*(Q65+J65),-M65,Q65+J65)</f>
        <v>9.5332729153242198E-3</v>
      </c>
      <c r="L65" s="37">
        <f>K65*4</f>
        <v>3.8133091661296879E-2</v>
      </c>
      <c r="M65" s="32">
        <v>1000000</v>
      </c>
      <c r="N65" s="33">
        <v>3.8100000000000002E-2</v>
      </c>
      <c r="O65" s="35" t="s">
        <v>4</v>
      </c>
      <c r="P65" s="33">
        <v>1.7999999999999999E-2</v>
      </c>
      <c r="Q65" s="32">
        <v>1000000</v>
      </c>
      <c r="R65" s="34">
        <v>42989</v>
      </c>
      <c r="S65" s="42">
        <f>(R65-B65)/365.2421875</f>
        <v>4.9994224722465832</v>
      </c>
      <c r="U65" s="7" t="s">
        <v>3</v>
      </c>
      <c r="V65" s="7">
        <v>4</v>
      </c>
      <c r="W65" s="43"/>
      <c r="X65" s="7" t="s">
        <v>2</v>
      </c>
      <c r="AB65" s="7" t="s">
        <v>37</v>
      </c>
      <c r="AH65" s="7" t="s">
        <v>36</v>
      </c>
    </row>
    <row r="66" spans="1:35">
      <c r="A66" s="7" t="s">
        <v>206</v>
      </c>
      <c r="B66" s="34">
        <v>41240</v>
      </c>
      <c r="C66" s="7" t="s">
        <v>47</v>
      </c>
      <c r="D66" s="52">
        <v>277000000</v>
      </c>
      <c r="E66" s="40" t="s">
        <v>19</v>
      </c>
      <c r="F66" s="7" t="s">
        <v>18</v>
      </c>
      <c r="G66" s="7" t="s">
        <v>33</v>
      </c>
      <c r="H66" s="36">
        <v>1250000000</v>
      </c>
      <c r="I66" s="36">
        <v>25000</v>
      </c>
      <c r="J66" s="36">
        <f>I66/(H66/M66)</f>
        <v>10</v>
      </c>
      <c r="K66" s="41">
        <f>RATE(S66*4,N66/4*(Q66+J66),-M66,Q66+J66)</f>
        <v>6.2257807458245256E-3</v>
      </c>
      <c r="L66" s="37">
        <f>K66*4</f>
        <v>2.4903122983298102E-2</v>
      </c>
      <c r="M66" s="32">
        <v>500000</v>
      </c>
      <c r="N66" s="33">
        <v>2.4899999999999999E-2</v>
      </c>
      <c r="O66" s="35" t="s">
        <v>4</v>
      </c>
      <c r="P66" s="33">
        <v>5.4000000000000003E-3</v>
      </c>
      <c r="Q66" s="32">
        <v>500000</v>
      </c>
      <c r="R66" s="34">
        <v>43796</v>
      </c>
      <c r="S66" s="42">
        <f>(R66-B66)/365.2421875</f>
        <v>6.9980962974054028</v>
      </c>
      <c r="T66" s="34">
        <v>44162</v>
      </c>
      <c r="U66" s="7" t="s">
        <v>3</v>
      </c>
      <c r="V66" s="7">
        <v>4</v>
      </c>
      <c r="W66" s="43"/>
      <c r="X66" s="7" t="s">
        <v>2</v>
      </c>
      <c r="Y66" s="7" t="s">
        <v>46</v>
      </c>
      <c r="AH66" s="7" t="s">
        <v>46</v>
      </c>
    </row>
    <row r="67" spans="1:35">
      <c r="A67" s="7" t="s">
        <v>205</v>
      </c>
      <c r="B67" s="34">
        <v>41233</v>
      </c>
      <c r="C67" s="7" t="s">
        <v>152</v>
      </c>
      <c r="D67" s="52">
        <v>4100000000</v>
      </c>
      <c r="E67" s="40" t="s">
        <v>7</v>
      </c>
      <c r="F67" s="7" t="s">
        <v>25</v>
      </c>
      <c r="G67" s="7" t="s">
        <v>5</v>
      </c>
      <c r="H67" s="36">
        <v>1500000000</v>
      </c>
      <c r="I67" s="36">
        <v>105000</v>
      </c>
      <c r="J67" s="36">
        <f>I67/(H67/M67)</f>
        <v>35</v>
      </c>
      <c r="K67" s="41">
        <f>RATE(S67*4,N67/4*(Q67+J67),-M67,Q67+J67)</f>
        <v>7.3061175076046545E-3</v>
      </c>
      <c r="L67" s="37">
        <f>K67*4</f>
        <v>2.9224470030418618E-2</v>
      </c>
      <c r="M67" s="32">
        <v>500000</v>
      </c>
      <c r="N67" s="33">
        <f>1.97%+P67</f>
        <v>2.9199999999999997E-2</v>
      </c>
      <c r="O67" s="35" t="s">
        <v>4</v>
      </c>
      <c r="P67" s="33">
        <v>9.4999999999999998E-3</v>
      </c>
      <c r="Q67" s="32">
        <v>500000</v>
      </c>
      <c r="R67" s="34">
        <v>42328</v>
      </c>
      <c r="S67" s="42">
        <f>(R67-B67)/365.2421875</f>
        <v>2.9980107377382303</v>
      </c>
      <c r="U67" s="7" t="s">
        <v>3</v>
      </c>
      <c r="V67" s="7">
        <v>4</v>
      </c>
      <c r="W67" s="43"/>
      <c r="X67" s="7" t="s">
        <v>2</v>
      </c>
    </row>
    <row r="68" spans="1:35">
      <c r="A68" s="7" t="s">
        <v>204</v>
      </c>
      <c r="B68" s="34">
        <v>41246</v>
      </c>
      <c r="C68" s="7" t="s">
        <v>203</v>
      </c>
      <c r="D68" s="52">
        <v>3200000000</v>
      </c>
      <c r="E68" s="40" t="s">
        <v>19</v>
      </c>
      <c r="F68" s="7" t="s">
        <v>18</v>
      </c>
      <c r="G68" s="7" t="s">
        <v>5</v>
      </c>
      <c r="H68" s="36">
        <v>825000000</v>
      </c>
      <c r="J68" s="36">
        <f>I68/(H68/M68)</f>
        <v>0</v>
      </c>
      <c r="K68" s="41">
        <f>RATE(S68*4,N68/4*(Q68+J68),-M68,Q68+J68)</f>
        <v>1.1625000000001124E-2</v>
      </c>
      <c r="L68" s="37">
        <f>K68*4</f>
        <v>4.6500000000004496E-2</v>
      </c>
      <c r="M68" s="32">
        <v>500000</v>
      </c>
      <c r="N68" s="33">
        <f>1.9%+P68</f>
        <v>4.65E-2</v>
      </c>
      <c r="O68" s="35" t="s">
        <v>4</v>
      </c>
      <c r="P68" s="33">
        <v>2.75E-2</v>
      </c>
      <c r="Q68" s="32">
        <v>500000</v>
      </c>
      <c r="R68" s="34">
        <v>44898</v>
      </c>
      <c r="S68" s="42">
        <f>(R68-B68)/365.2421875</f>
        <v>9.9988449444931664</v>
      </c>
      <c r="U68" s="7" t="s">
        <v>3</v>
      </c>
      <c r="V68" s="7">
        <v>4</v>
      </c>
      <c r="W68" s="43"/>
      <c r="X68" s="7" t="s">
        <v>56</v>
      </c>
      <c r="Y68" s="7" t="s">
        <v>112</v>
      </c>
      <c r="AH68" s="7" t="s">
        <v>112</v>
      </c>
    </row>
    <row r="69" spans="1:35">
      <c r="A69" s="7" t="s">
        <v>202</v>
      </c>
      <c r="B69" s="34">
        <v>41221</v>
      </c>
      <c r="C69" s="7" t="s">
        <v>60</v>
      </c>
      <c r="D69" s="52">
        <v>2500000000</v>
      </c>
      <c r="E69" s="40" t="s">
        <v>7</v>
      </c>
      <c r="F69" s="7" t="s">
        <v>38</v>
      </c>
      <c r="G69" s="7" t="s">
        <v>5</v>
      </c>
      <c r="H69" s="36">
        <v>625000000</v>
      </c>
      <c r="I69" s="36">
        <v>70000</v>
      </c>
      <c r="J69" s="36">
        <f>I69/(H69/M69)</f>
        <v>112</v>
      </c>
      <c r="K69" s="41">
        <f>RATE(S69*4,N69/4*(Q69+J69),-M69,Q69+J69)</f>
        <v>8.2074973327607107E-3</v>
      </c>
      <c r="L69" s="37">
        <f>K69*4</f>
        <v>3.2829989331042843E-2</v>
      </c>
      <c r="M69" s="32">
        <v>1000000</v>
      </c>
      <c r="N69" s="33">
        <v>3.2800000000000003E-2</v>
      </c>
      <c r="O69" s="35" t="s">
        <v>4</v>
      </c>
      <c r="P69" s="33">
        <v>1.4E-2</v>
      </c>
      <c r="Q69" s="32">
        <v>1000000</v>
      </c>
      <c r="R69" s="34">
        <v>42682</v>
      </c>
      <c r="S69" s="42">
        <f>(R69-B69)/365.2421875</f>
        <v>4.0000855596671725</v>
      </c>
      <c r="U69" s="7" t="s">
        <v>3</v>
      </c>
      <c r="V69" s="7">
        <v>4</v>
      </c>
      <c r="W69" s="43"/>
      <c r="X69" s="7" t="s">
        <v>2</v>
      </c>
      <c r="AB69" s="7" t="s">
        <v>24</v>
      </c>
      <c r="AH69" s="7" t="s">
        <v>23</v>
      </c>
      <c r="AI69" s="7" t="s">
        <v>22</v>
      </c>
    </row>
    <row r="70" spans="1:35">
      <c r="A70" s="7" t="s">
        <v>201</v>
      </c>
      <c r="B70" s="34">
        <v>41255</v>
      </c>
      <c r="C70" s="7" t="s">
        <v>8</v>
      </c>
      <c r="D70" s="52">
        <v>3200000000</v>
      </c>
      <c r="E70" s="40" t="s">
        <v>7</v>
      </c>
      <c r="F70" s="7" t="s">
        <v>6</v>
      </c>
      <c r="G70" s="7" t="s">
        <v>5</v>
      </c>
      <c r="H70" s="36">
        <v>300000000</v>
      </c>
      <c r="I70" s="36">
        <v>30000</v>
      </c>
      <c r="J70" s="36">
        <f>I70/(H70/M70)</f>
        <v>100</v>
      </c>
      <c r="K70" s="41">
        <f>RATE(S70*4,N70/4*(Q70+J70),-M70,Q70+J70)</f>
        <v>1.5332094627068067E-2</v>
      </c>
      <c r="L70" s="37">
        <f>K70*4</f>
        <v>6.1328378508272267E-2</v>
      </c>
      <c r="M70" s="32">
        <v>1000000</v>
      </c>
      <c r="N70" s="33">
        <v>6.13E-2</v>
      </c>
      <c r="O70" s="35" t="s">
        <v>4</v>
      </c>
      <c r="P70" s="33">
        <v>4.2500000000000003E-2</v>
      </c>
      <c r="Q70" s="32">
        <v>1000000</v>
      </c>
      <c r="R70" s="34">
        <v>42716</v>
      </c>
      <c r="S70" s="42">
        <f>(R70-B70)/365.2421875</f>
        <v>4.0000855596671725</v>
      </c>
      <c r="U70" s="7" t="s">
        <v>3</v>
      </c>
      <c r="V70" s="7">
        <v>4</v>
      </c>
      <c r="W70" s="43"/>
      <c r="X70" s="7" t="s">
        <v>2</v>
      </c>
      <c r="AB70" s="7" t="s">
        <v>1</v>
      </c>
      <c r="AH70" s="7" t="s">
        <v>0</v>
      </c>
    </row>
    <row r="71" spans="1:35">
      <c r="A71" s="7" t="s">
        <v>200</v>
      </c>
      <c r="B71" s="34">
        <v>41197</v>
      </c>
      <c r="C71" s="7" t="s">
        <v>199</v>
      </c>
      <c r="D71" s="52">
        <v>12100000000</v>
      </c>
      <c r="E71" s="40" t="s">
        <v>7</v>
      </c>
      <c r="F71" s="7" t="s">
        <v>29</v>
      </c>
      <c r="G71" s="7" t="s">
        <v>5</v>
      </c>
      <c r="H71" s="36">
        <v>500000000</v>
      </c>
      <c r="I71" s="36">
        <v>75000</v>
      </c>
      <c r="J71" s="36">
        <f>I71/(H71/M71)</f>
        <v>150</v>
      </c>
      <c r="K71" s="41">
        <f>RATE(S71*4,N71/4*(Q71+J71),-M71,Q71+J71)</f>
        <v>1.5132500307463988E-2</v>
      </c>
      <c r="L71" s="37">
        <f>K71*4</f>
        <v>6.0530001229855954E-2</v>
      </c>
      <c r="M71" s="32">
        <v>1000000</v>
      </c>
      <c r="N71" s="33">
        <v>6.0499999999999998E-2</v>
      </c>
      <c r="O71" s="35" t="s">
        <v>4</v>
      </c>
      <c r="P71" s="33">
        <v>4.1000000000000002E-2</v>
      </c>
      <c r="Q71" s="32">
        <v>1000000</v>
      </c>
      <c r="R71" s="34">
        <v>43388</v>
      </c>
      <c r="S71" s="42">
        <f>(R71-B71)/365.2421875</f>
        <v>5.998759384825993</v>
      </c>
      <c r="U71" s="7" t="s">
        <v>3</v>
      </c>
      <c r="V71" s="7">
        <v>4</v>
      </c>
      <c r="W71" s="43"/>
      <c r="X71" s="7" t="s">
        <v>28</v>
      </c>
      <c r="Y71" s="7" t="s">
        <v>0</v>
      </c>
      <c r="AH71" s="7" t="s">
        <v>0</v>
      </c>
    </row>
    <row r="72" spans="1:35">
      <c r="A72" s="7" t="s">
        <v>198</v>
      </c>
      <c r="B72" s="34">
        <v>41248</v>
      </c>
      <c r="C72" s="7" t="s">
        <v>161</v>
      </c>
      <c r="D72" s="52">
        <v>1100000000</v>
      </c>
      <c r="E72" s="40" t="s">
        <v>19</v>
      </c>
      <c r="F72" s="7" t="s">
        <v>18</v>
      </c>
      <c r="G72" s="7" t="s">
        <v>5</v>
      </c>
      <c r="H72" s="36">
        <v>1500000000</v>
      </c>
      <c r="I72" s="36">
        <v>45000</v>
      </c>
      <c r="J72" s="36">
        <f>I72/(H72/M72)</f>
        <v>15</v>
      </c>
      <c r="K72" s="41">
        <f>RATE(S72*4,N72/4*(Q72+J72),-M72,Q72+J72)</f>
        <v>7.5019966964646285E-3</v>
      </c>
      <c r="L72" s="37">
        <f>K72*4</f>
        <v>3.0007986785858514E-2</v>
      </c>
      <c r="M72" s="32">
        <v>500000</v>
      </c>
      <c r="N72" s="33">
        <v>0.03</v>
      </c>
      <c r="O72" s="35" t="s">
        <v>4</v>
      </c>
      <c r="P72" s="33">
        <v>1.0999999999999999E-2</v>
      </c>
      <c r="Q72" s="32">
        <v>500000</v>
      </c>
      <c r="R72" s="34">
        <v>42709</v>
      </c>
      <c r="S72" s="42">
        <f>(R72-B72)/365.2421875</f>
        <v>4.0000855596671725</v>
      </c>
      <c r="U72" s="7" t="s">
        <v>3</v>
      </c>
      <c r="V72" s="7">
        <v>4</v>
      </c>
      <c r="W72" s="43"/>
      <c r="X72" s="7" t="s">
        <v>2</v>
      </c>
      <c r="Y72" s="7" t="s">
        <v>15</v>
      </c>
      <c r="AH72" s="7" t="s">
        <v>15</v>
      </c>
      <c r="AI72" s="7" t="s">
        <v>22</v>
      </c>
    </row>
    <row r="73" spans="1:35">
      <c r="A73" s="7" t="s">
        <v>197</v>
      </c>
      <c r="B73" s="34">
        <v>41248</v>
      </c>
      <c r="C73" s="7" t="s">
        <v>161</v>
      </c>
      <c r="D73" s="52">
        <v>1100000000</v>
      </c>
      <c r="E73" s="40" t="s">
        <v>19</v>
      </c>
      <c r="F73" s="7" t="s">
        <v>18</v>
      </c>
      <c r="G73" s="7" t="s">
        <v>17</v>
      </c>
      <c r="H73" s="36">
        <v>1000000000</v>
      </c>
      <c r="I73" s="36">
        <v>30000</v>
      </c>
      <c r="J73" s="36">
        <f>I73/(H73/M73)</f>
        <v>15</v>
      </c>
      <c r="K73" s="41">
        <f>RATE(S73*4,N73/4*(Q73+J73),-M73,Q73+J73)</f>
        <v>8.3770111915991274E-3</v>
      </c>
      <c r="L73" s="37">
        <f>K73*4</f>
        <v>3.3508044766396509E-2</v>
      </c>
      <c r="M73" s="32">
        <v>500000</v>
      </c>
      <c r="N73" s="33">
        <v>3.3500000000000002E-2</v>
      </c>
      <c r="Q73" s="32">
        <v>500000</v>
      </c>
      <c r="R73" s="34">
        <v>42709</v>
      </c>
      <c r="S73" s="42">
        <f>(R73-B73)/365.2421875</f>
        <v>4.0000855596671725</v>
      </c>
      <c r="U73" s="7" t="s">
        <v>16</v>
      </c>
      <c r="V73" s="7">
        <v>1</v>
      </c>
      <c r="W73" s="43">
        <f>MDURATION(B73,R73,N73,L73,V73)</f>
        <v>3.6861645178821316</v>
      </c>
      <c r="X73" s="7" t="s">
        <v>2</v>
      </c>
      <c r="Y73" s="7" t="s">
        <v>15</v>
      </c>
      <c r="AH73" s="7" t="s">
        <v>15</v>
      </c>
      <c r="AI73" s="7" t="s">
        <v>22</v>
      </c>
    </row>
    <row r="74" spans="1:35">
      <c r="A74" s="7" t="s">
        <v>196</v>
      </c>
      <c r="B74" s="34">
        <v>41262</v>
      </c>
      <c r="C74" s="7" t="s">
        <v>49</v>
      </c>
      <c r="D74" s="52">
        <v>2700000000</v>
      </c>
      <c r="E74" s="40" t="s">
        <v>19</v>
      </c>
      <c r="F74" s="7" t="s">
        <v>18</v>
      </c>
      <c r="G74" s="7" t="s">
        <v>57</v>
      </c>
      <c r="H74" s="36">
        <v>500000000</v>
      </c>
      <c r="J74" s="36">
        <f>I74/(H74/M74)</f>
        <v>0</v>
      </c>
      <c r="K74" s="41"/>
      <c r="M74" s="32">
        <v>1000000</v>
      </c>
      <c r="N74" s="33">
        <f>1.81%+P74</f>
        <v>6.5600000000000006E-2</v>
      </c>
      <c r="O74" s="35" t="s">
        <v>4</v>
      </c>
      <c r="P74" s="33">
        <v>4.7500000000000001E-2</v>
      </c>
      <c r="Q74" s="32">
        <v>1000000</v>
      </c>
      <c r="S74" s="42"/>
      <c r="U74" s="7" t="s">
        <v>3</v>
      </c>
      <c r="V74" s="7">
        <v>4</v>
      </c>
      <c r="W74" s="43"/>
      <c r="X74" s="7" t="s">
        <v>56</v>
      </c>
      <c r="Y74" s="7" t="s">
        <v>112</v>
      </c>
      <c r="AH74" s="7" t="s">
        <v>112</v>
      </c>
    </row>
    <row r="75" spans="1:35">
      <c r="A75" s="7" t="s">
        <v>195</v>
      </c>
      <c r="B75" s="34">
        <v>41173</v>
      </c>
      <c r="C75" s="7" t="s">
        <v>194</v>
      </c>
      <c r="D75" s="52">
        <v>11600000000</v>
      </c>
      <c r="E75" s="40" t="s">
        <v>7</v>
      </c>
      <c r="F75" s="7" t="s">
        <v>29</v>
      </c>
      <c r="G75" s="7" t="s">
        <v>5</v>
      </c>
      <c r="H75" s="36">
        <v>900000000</v>
      </c>
      <c r="I75" s="36">
        <v>150000</v>
      </c>
      <c r="J75" s="36">
        <f>I75/(H75/M75)</f>
        <v>83.333333333333329</v>
      </c>
      <c r="K75" s="41">
        <f>RATE(S75*4,N75/4*(Q75+J75),-M75,Q75+J75)</f>
        <v>1.1409366889711796E-2</v>
      </c>
      <c r="L75" s="37">
        <f>K75*4</f>
        <v>4.5637467558847185E-2</v>
      </c>
      <c r="M75" s="32">
        <v>500000</v>
      </c>
      <c r="N75" s="33">
        <v>4.5600000000000002E-2</v>
      </c>
      <c r="O75" s="35" t="s">
        <v>4</v>
      </c>
      <c r="P75" s="33">
        <v>2.75E-2</v>
      </c>
      <c r="Q75" s="32">
        <v>500000</v>
      </c>
      <c r="R75" s="34">
        <v>42999</v>
      </c>
      <c r="S75" s="42">
        <f>(R75-B75)/365.2421875</f>
        <v>4.9994224722465832</v>
      </c>
      <c r="U75" s="7" t="s">
        <v>3</v>
      </c>
      <c r="V75" s="7">
        <v>4</v>
      </c>
      <c r="W75" s="43"/>
      <c r="X75" s="7" t="s">
        <v>2</v>
      </c>
      <c r="AC75" s="7" t="s">
        <v>42</v>
      </c>
      <c r="AH75" s="7" t="s">
        <v>41</v>
      </c>
    </row>
    <row r="76" spans="1:35">
      <c r="A76" s="7" t="s">
        <v>193</v>
      </c>
      <c r="B76" s="34">
        <v>40952</v>
      </c>
      <c r="C76" s="7" t="s">
        <v>108</v>
      </c>
      <c r="D76" s="52">
        <f>4200000000*5.92</f>
        <v>24864000000</v>
      </c>
      <c r="E76" s="40" t="s">
        <v>7</v>
      </c>
      <c r="F76" s="7" t="s">
        <v>53</v>
      </c>
      <c r="G76" s="7" t="s">
        <v>5</v>
      </c>
      <c r="H76" s="36">
        <v>1250000000</v>
      </c>
      <c r="J76" s="36">
        <f>I76/(H76/M76)</f>
        <v>0</v>
      </c>
      <c r="K76" s="41">
        <f>RATE(S76*4,N76/4*(Q76+J76),-M76,Q76+J76)</f>
        <v>1.4824999999999993E-2</v>
      </c>
      <c r="L76" s="37">
        <f>K76*4</f>
        <v>5.9299999999999971E-2</v>
      </c>
      <c r="M76" s="32">
        <v>500000</v>
      </c>
      <c r="N76" s="33">
        <f>2.68%+P76</f>
        <v>5.9300000000000005E-2</v>
      </c>
      <c r="O76" s="35" t="s">
        <v>4</v>
      </c>
      <c r="P76" s="33">
        <v>3.2500000000000001E-2</v>
      </c>
      <c r="Q76" s="32">
        <v>500000</v>
      </c>
      <c r="R76" s="34">
        <v>41683</v>
      </c>
      <c r="S76" s="42">
        <f>(R76-B76)/365.2421875</f>
        <v>2.0014117345083529</v>
      </c>
      <c r="U76" s="7" t="s">
        <v>3</v>
      </c>
      <c r="V76" s="7">
        <v>4</v>
      </c>
      <c r="W76" s="43"/>
      <c r="X76" s="7" t="s">
        <v>2</v>
      </c>
      <c r="AD76" s="7" t="s">
        <v>11</v>
      </c>
      <c r="AH76" s="7" t="s">
        <v>10</v>
      </c>
    </row>
    <row r="77" spans="1:35">
      <c r="A77" s="7" t="s">
        <v>192</v>
      </c>
      <c r="B77" s="34">
        <v>40821</v>
      </c>
      <c r="C77" s="7" t="s">
        <v>117</v>
      </c>
      <c r="D77" s="52">
        <v>80000000</v>
      </c>
      <c r="E77" s="40" t="s">
        <v>19</v>
      </c>
      <c r="F77" s="7" t="s">
        <v>18</v>
      </c>
      <c r="G77" s="7" t="s">
        <v>180</v>
      </c>
      <c r="H77" s="36">
        <v>1000000000</v>
      </c>
      <c r="I77" s="36">
        <v>140000</v>
      </c>
      <c r="J77" s="36">
        <f>I77/(H77/M77)</f>
        <v>70</v>
      </c>
      <c r="K77" s="41">
        <f>RATE(S77*4,N77/4*(Q77+J77),-M77,Q77+J77)</f>
        <v>1.1378231883933769E-2</v>
      </c>
      <c r="L77" s="37">
        <f>K77*4</f>
        <v>4.5512927535735076E-2</v>
      </c>
      <c r="M77" s="32">
        <v>500000</v>
      </c>
      <c r="N77" s="33">
        <v>4.5499999999999999E-2</v>
      </c>
      <c r="Q77" s="32">
        <v>500000</v>
      </c>
      <c r="R77" s="34">
        <v>46300</v>
      </c>
      <c r="S77" s="42">
        <f>(R77-B77)/365.2421875</f>
        <v>15.001005326089281</v>
      </c>
      <c r="T77" s="34">
        <v>46665</v>
      </c>
      <c r="U77" s="7" t="s">
        <v>16</v>
      </c>
      <c r="V77" s="7">
        <v>1</v>
      </c>
      <c r="W77" s="43">
        <f>MDURATION(B77,R77,N77,L77,V77)</f>
        <v>10.70230515643031</v>
      </c>
      <c r="X77" s="7" t="s">
        <v>2</v>
      </c>
      <c r="Y77" s="7" t="s">
        <v>116</v>
      </c>
      <c r="AH77" s="7" t="s">
        <v>116</v>
      </c>
    </row>
    <row r="78" spans="1:35">
      <c r="A78" s="7" t="s">
        <v>191</v>
      </c>
      <c r="B78" s="34">
        <v>41257</v>
      </c>
      <c r="C78" s="7" t="s">
        <v>190</v>
      </c>
      <c r="D78" s="52">
        <v>350000000</v>
      </c>
      <c r="E78" s="40" t="s">
        <v>7</v>
      </c>
      <c r="F78" s="7" t="s">
        <v>25</v>
      </c>
      <c r="G78" s="7" t="s">
        <v>5</v>
      </c>
      <c r="H78" s="36">
        <v>300000000</v>
      </c>
      <c r="I78" s="36">
        <v>150000</v>
      </c>
      <c r="J78" s="36">
        <f>I78/(H78/M78)</f>
        <v>500</v>
      </c>
      <c r="K78" s="41">
        <f>RATE(S78*4,N78/4*(Q78+J78),-M78,Q78+J78)</f>
        <v>9.8276486677407564E-3</v>
      </c>
      <c r="L78" s="37">
        <f>K78*4</f>
        <v>3.9310594670963026E-2</v>
      </c>
      <c r="M78" s="32">
        <v>1000000</v>
      </c>
      <c r="N78" s="33">
        <v>3.9199999999999999E-2</v>
      </c>
      <c r="O78" s="35" t="s">
        <v>4</v>
      </c>
      <c r="P78" s="33">
        <v>2.0500000000000001E-2</v>
      </c>
      <c r="Q78" s="32">
        <v>1000000</v>
      </c>
      <c r="R78" s="34">
        <v>43083</v>
      </c>
      <c r="S78" s="42">
        <f>(R78-B78)/365.2421875</f>
        <v>4.9994224722465832</v>
      </c>
      <c r="U78" s="7" t="s">
        <v>3</v>
      </c>
      <c r="V78" s="7">
        <v>4</v>
      </c>
      <c r="W78" s="43"/>
      <c r="X78" s="7" t="s">
        <v>28</v>
      </c>
      <c r="Z78" s="7" t="s">
        <v>11</v>
      </c>
      <c r="AH78" s="7" t="s">
        <v>10</v>
      </c>
    </row>
    <row r="79" spans="1:35">
      <c r="A79" s="7" t="s">
        <v>189</v>
      </c>
      <c r="B79" s="34">
        <v>41262</v>
      </c>
      <c r="C79" s="7" t="s">
        <v>49</v>
      </c>
      <c r="D79" s="52">
        <v>2700000000</v>
      </c>
      <c r="E79" s="40" t="s">
        <v>19</v>
      </c>
      <c r="F79" s="7" t="s">
        <v>18</v>
      </c>
      <c r="G79" s="7" t="s">
        <v>5</v>
      </c>
      <c r="H79" s="36">
        <v>500000000</v>
      </c>
      <c r="I79" s="36">
        <v>85000</v>
      </c>
      <c r="J79" s="36">
        <f>I79/(H79/M79)</f>
        <v>170</v>
      </c>
      <c r="K79" s="41">
        <f>RATE(S79*4,N79/4*(Q79+J79),-M79,Q79+J79)</f>
        <v>1.163033876053138E-2</v>
      </c>
      <c r="L79" s="37">
        <f>K79*4</f>
        <v>4.6521355042125519E-2</v>
      </c>
      <c r="M79" s="32">
        <v>1000000</v>
      </c>
      <c r="N79" s="33">
        <v>4.65E-2</v>
      </c>
      <c r="O79" s="35" t="s">
        <v>4</v>
      </c>
      <c r="P79" s="33">
        <v>2.75E-2</v>
      </c>
      <c r="Q79" s="32">
        <v>1000000</v>
      </c>
      <c r="R79" s="34">
        <v>44914</v>
      </c>
      <c r="S79" s="42">
        <f>(R79-B79)/365.2421875</f>
        <v>9.9988449444931664</v>
      </c>
      <c r="U79" s="7" t="s">
        <v>3</v>
      </c>
      <c r="V79" s="7">
        <v>4</v>
      </c>
      <c r="W79" s="43"/>
      <c r="X79" s="7" t="s">
        <v>56</v>
      </c>
      <c r="Y79" s="7" t="s">
        <v>112</v>
      </c>
      <c r="AH79" s="7" t="s">
        <v>112</v>
      </c>
    </row>
    <row r="80" spans="1:35">
      <c r="A80" s="7" t="s">
        <v>188</v>
      </c>
      <c r="B80" s="34">
        <v>41292</v>
      </c>
      <c r="C80" s="7" t="s">
        <v>152</v>
      </c>
      <c r="D80" s="52">
        <v>4200000000</v>
      </c>
      <c r="E80" s="40" t="s">
        <v>7</v>
      </c>
      <c r="F80" s="7" t="s">
        <v>25</v>
      </c>
      <c r="G80" s="7" t="s">
        <v>187</v>
      </c>
      <c r="H80" s="36">
        <v>1500000000</v>
      </c>
      <c r="I80" s="36">
        <v>105000</v>
      </c>
      <c r="J80" s="36">
        <f>I80/(H80/M80)</f>
        <v>35</v>
      </c>
      <c r="K80" s="41">
        <f>RATE(S80*4,N80/4*(Q80+J80),-M80,Q80+J80)</f>
        <v>7.7532080788583696E-3</v>
      </c>
      <c r="L80" s="37">
        <f>K80*4</f>
        <v>3.1012832315433479E-2</v>
      </c>
      <c r="M80" s="32">
        <v>500000</v>
      </c>
      <c r="N80" s="33">
        <f>1.85%+P80</f>
        <v>3.1000000000000003E-2</v>
      </c>
      <c r="O80" s="35" t="s">
        <v>4</v>
      </c>
      <c r="P80" s="33">
        <v>1.2500000000000001E-2</v>
      </c>
      <c r="Q80" s="32">
        <v>500000</v>
      </c>
      <c r="R80" s="34">
        <v>43483</v>
      </c>
      <c r="S80" s="42">
        <f>(R80-B80)/365.2421875</f>
        <v>5.998759384825993</v>
      </c>
      <c r="U80" s="7" t="s">
        <v>3</v>
      </c>
      <c r="V80" s="7">
        <v>4</v>
      </c>
      <c r="W80" s="43"/>
      <c r="X80" s="7" t="s">
        <v>2</v>
      </c>
    </row>
    <row r="81" spans="1:35">
      <c r="A81" s="7" t="s">
        <v>186</v>
      </c>
      <c r="B81" s="34">
        <v>41166</v>
      </c>
      <c r="C81" s="7" t="s">
        <v>184</v>
      </c>
      <c r="D81" s="52">
        <v>570000000</v>
      </c>
      <c r="E81" s="40" t="s">
        <v>19</v>
      </c>
      <c r="F81" s="7" t="s">
        <v>18</v>
      </c>
      <c r="G81" s="7" t="s">
        <v>5</v>
      </c>
      <c r="H81" s="36">
        <v>50000000</v>
      </c>
      <c r="I81" s="36">
        <v>275000</v>
      </c>
      <c r="J81" s="36">
        <f>I81/(H81/M81)</f>
        <v>5.5</v>
      </c>
      <c r="K81" s="41">
        <f>RATE(S81*4,N81/4*(Q81+J81),-M81,Q81+J81)</f>
        <v>1.3101585025161344E-2</v>
      </c>
      <c r="L81" s="37">
        <f>K81*4</f>
        <v>5.2406340100645377E-2</v>
      </c>
      <c r="M81" s="32">
        <v>1000</v>
      </c>
      <c r="N81" s="33">
        <v>5.1700000000000003E-2</v>
      </c>
      <c r="O81" s="35" t="s">
        <v>4</v>
      </c>
      <c r="P81" s="33">
        <v>3.3000000000000002E-2</v>
      </c>
      <c r="Q81" s="32">
        <v>1000</v>
      </c>
      <c r="R81" s="34">
        <v>44818</v>
      </c>
      <c r="S81" s="42">
        <f>(R81-B81)/365.2421875</f>
        <v>9.9988449444931664</v>
      </c>
      <c r="U81" s="7" t="s">
        <v>3</v>
      </c>
      <c r="V81" s="7">
        <v>4</v>
      </c>
      <c r="W81" s="43"/>
      <c r="X81" s="7" t="s">
        <v>56</v>
      </c>
    </row>
    <row r="82" spans="1:35">
      <c r="A82" s="7" t="s">
        <v>185</v>
      </c>
      <c r="B82" s="34">
        <v>40752</v>
      </c>
      <c r="C82" s="7" t="s">
        <v>184</v>
      </c>
      <c r="D82" s="52">
        <v>520000000</v>
      </c>
      <c r="E82" s="40" t="s">
        <v>19</v>
      </c>
      <c r="F82" s="7" t="s">
        <v>18</v>
      </c>
      <c r="G82" s="7" t="s">
        <v>57</v>
      </c>
      <c r="H82" s="36">
        <v>230000000</v>
      </c>
      <c r="I82" s="36">
        <v>1250000</v>
      </c>
      <c r="J82" s="36">
        <f>I82/(H82/M82)</f>
        <v>5434.782608695652</v>
      </c>
      <c r="K82" s="41"/>
      <c r="M82" s="32">
        <v>1000000</v>
      </c>
      <c r="N82" s="33">
        <v>6.8000000000000005E-2</v>
      </c>
      <c r="O82" s="35" t="s">
        <v>4</v>
      </c>
      <c r="P82" s="33">
        <v>4.2000000000000003E-2</v>
      </c>
      <c r="Q82" s="32">
        <v>1000000</v>
      </c>
      <c r="S82" s="42"/>
      <c r="U82" s="7" t="s">
        <v>3</v>
      </c>
      <c r="V82" s="7">
        <v>4</v>
      </c>
      <c r="W82" s="43"/>
      <c r="X82" s="7" t="s">
        <v>56</v>
      </c>
    </row>
    <row r="83" spans="1:35">
      <c r="A83" s="7" t="s">
        <v>183</v>
      </c>
      <c r="B83" s="34">
        <v>41306</v>
      </c>
      <c r="C83" s="7" t="s">
        <v>26</v>
      </c>
      <c r="D83" s="52">
        <v>11500000000</v>
      </c>
      <c r="E83" s="40" t="s">
        <v>7</v>
      </c>
      <c r="F83" s="7" t="s">
        <v>25</v>
      </c>
      <c r="G83" s="7" t="s">
        <v>17</v>
      </c>
      <c r="H83" s="36">
        <v>1000000000</v>
      </c>
      <c r="I83" s="36">
        <v>30000</v>
      </c>
      <c r="J83" s="36">
        <f>I83/(H83/M83)</f>
        <v>30</v>
      </c>
      <c r="K83" s="41">
        <f>RATE(S83*4,N83/4*(Q83+J83),-M83,Q83+J83)</f>
        <v>9.5766555058668986E-3</v>
      </c>
      <c r="L83" s="37">
        <f>K83*4</f>
        <v>3.8306622023467594E-2</v>
      </c>
      <c r="M83" s="32">
        <v>1000000</v>
      </c>
      <c r="N83" s="33">
        <v>3.8300000000000001E-2</v>
      </c>
      <c r="Q83" s="32">
        <v>1000000</v>
      </c>
      <c r="R83" s="34">
        <v>43132</v>
      </c>
      <c r="S83" s="42">
        <f>(R83-B83)/365.2421875</f>
        <v>4.9994224722465832</v>
      </c>
      <c r="U83" s="7" t="s">
        <v>16</v>
      </c>
      <c r="V83" s="7">
        <v>1</v>
      </c>
      <c r="W83" s="43">
        <f>MDURATION(B83,R83,N83,L83,V83)</f>
        <v>4.4731288341410043</v>
      </c>
      <c r="X83" s="7" t="s">
        <v>2</v>
      </c>
      <c r="AB83" s="7" t="s">
        <v>24</v>
      </c>
      <c r="AH83" s="7" t="s">
        <v>23</v>
      </c>
    </row>
    <row r="84" spans="1:35">
      <c r="A84" s="7" t="s">
        <v>182</v>
      </c>
      <c r="B84" s="34">
        <v>41299</v>
      </c>
      <c r="C84" s="7" t="s">
        <v>26</v>
      </c>
      <c r="D84" s="52">
        <v>11500000000</v>
      </c>
      <c r="E84" s="40" t="s">
        <v>7</v>
      </c>
      <c r="F84" s="7" t="s">
        <v>25</v>
      </c>
      <c r="G84" s="7" t="s">
        <v>17</v>
      </c>
      <c r="H84" s="36">
        <v>750000000</v>
      </c>
      <c r="I84" s="36">
        <v>30000</v>
      </c>
      <c r="J84" s="36">
        <f>I84/(H84/M84)</f>
        <v>40</v>
      </c>
      <c r="K84" s="41">
        <f>RATE(S84*4,N84/4*(Q84+J84),-M84,Q84+J84)</f>
        <v>1.2251272096196116E-2</v>
      </c>
      <c r="L84" s="37">
        <f>K84*4</f>
        <v>4.9005088384784463E-2</v>
      </c>
      <c r="M84" s="32">
        <v>1000000</v>
      </c>
      <c r="N84" s="33">
        <v>4.9000000000000002E-2</v>
      </c>
      <c r="Q84" s="32">
        <v>1000000</v>
      </c>
      <c r="R84" s="34">
        <v>44947</v>
      </c>
      <c r="S84" s="42">
        <f>(R84-B84)/365.2421875</f>
        <v>9.9878933070950353</v>
      </c>
      <c r="U84" s="7" t="s">
        <v>16</v>
      </c>
      <c r="V84" s="7">
        <v>1</v>
      </c>
      <c r="W84" s="43">
        <f>MDURATION(B84,R84,N84,L84,V84)</f>
        <v>7.7487015287793142</v>
      </c>
      <c r="X84" s="7" t="s">
        <v>2</v>
      </c>
      <c r="AB84" s="7" t="s">
        <v>24</v>
      </c>
      <c r="AH84" s="7" t="s">
        <v>23</v>
      </c>
    </row>
    <row r="85" spans="1:35">
      <c r="A85" s="7" t="s">
        <v>181</v>
      </c>
      <c r="B85" s="34">
        <v>41298</v>
      </c>
      <c r="C85" s="7" t="s">
        <v>47</v>
      </c>
      <c r="D85" s="52">
        <v>400000000</v>
      </c>
      <c r="E85" s="40" t="s">
        <v>19</v>
      </c>
      <c r="F85" s="7" t="s">
        <v>18</v>
      </c>
      <c r="G85" s="7" t="s">
        <v>180</v>
      </c>
      <c r="H85" s="36">
        <v>1250000000</v>
      </c>
      <c r="I85" s="36">
        <v>75000</v>
      </c>
      <c r="J85" s="36">
        <f>I85/(H85/M85)</f>
        <v>60</v>
      </c>
      <c r="K85" s="41">
        <f>RATE(S85*4,N85/4*(Q85+J85),-M85,Q85+J85)</f>
        <v>1.00013347480475E-2</v>
      </c>
      <c r="L85" s="37">
        <f>K85*4</f>
        <v>4.0005338992189998E-2</v>
      </c>
      <c r="M85" s="32">
        <v>1000000</v>
      </c>
      <c r="N85" s="33">
        <v>0.04</v>
      </c>
      <c r="Q85" s="32">
        <v>1000000</v>
      </c>
      <c r="R85" s="34">
        <v>46776</v>
      </c>
      <c r="S85" s="42">
        <f>(R85-B85)/365.2421875</f>
        <v>14.998267416739749</v>
      </c>
      <c r="T85" s="34">
        <v>47142</v>
      </c>
      <c r="U85" s="7" t="s">
        <v>16</v>
      </c>
      <c r="V85" s="7">
        <v>1</v>
      </c>
      <c r="W85" s="43">
        <f>MDURATION(B85,R85,N85,L85,V85)</f>
        <v>11.118217279848727</v>
      </c>
      <c r="X85" s="7" t="s">
        <v>2</v>
      </c>
      <c r="Y85" s="7" t="s">
        <v>46</v>
      </c>
      <c r="AH85" s="7" t="s">
        <v>46</v>
      </c>
    </row>
    <row r="86" spans="1:35">
      <c r="A86" s="7" t="s">
        <v>179</v>
      </c>
      <c r="B86" s="34">
        <v>40721</v>
      </c>
      <c r="C86" s="7" t="s">
        <v>154</v>
      </c>
      <c r="D86" s="52">
        <v>350000000</v>
      </c>
      <c r="E86" s="40" t="s">
        <v>19</v>
      </c>
      <c r="F86" s="7" t="s">
        <v>18</v>
      </c>
      <c r="G86" s="7" t="s">
        <v>57</v>
      </c>
      <c r="H86" s="36">
        <v>126000000</v>
      </c>
      <c r="I86" s="36">
        <v>120000</v>
      </c>
      <c r="J86" s="36">
        <f>I86/(H86/M86)</f>
        <v>476.1904761904762</v>
      </c>
      <c r="K86" s="41"/>
      <c r="M86" s="32">
        <v>500000</v>
      </c>
      <c r="N86" s="33">
        <f>2.89%+P86</f>
        <v>7.4899999999999994E-2</v>
      </c>
      <c r="O86" s="35" t="s">
        <v>4</v>
      </c>
      <c r="P86" s="33">
        <v>4.5999999999999999E-2</v>
      </c>
      <c r="Q86" s="32">
        <v>500000</v>
      </c>
      <c r="S86" s="42"/>
      <c r="U86" s="7" t="s">
        <v>3</v>
      </c>
      <c r="V86" s="7">
        <v>4</v>
      </c>
      <c r="W86" s="43"/>
      <c r="X86" s="7" t="s">
        <v>56</v>
      </c>
    </row>
    <row r="87" spans="1:35">
      <c r="A87" s="7" t="s">
        <v>178</v>
      </c>
      <c r="B87" s="34">
        <v>41302</v>
      </c>
      <c r="C87" s="7" t="s">
        <v>138</v>
      </c>
      <c r="D87" s="52">
        <v>9000000000</v>
      </c>
      <c r="E87" s="40" t="s">
        <v>7</v>
      </c>
      <c r="F87" s="7" t="s">
        <v>25</v>
      </c>
      <c r="G87" s="7" t="s">
        <v>5</v>
      </c>
      <c r="H87" s="36">
        <v>1000000000</v>
      </c>
      <c r="I87" s="36">
        <v>20000</v>
      </c>
      <c r="J87" s="36">
        <f>I87/(H87/M87)</f>
        <v>10</v>
      </c>
      <c r="K87" s="41">
        <f>RATE(S87*4,N87/4*(Q87+J87),-M87,Q87+J87)</f>
        <v>7.9259185461834532E-3</v>
      </c>
      <c r="L87" s="37">
        <f>K87*4</f>
        <v>3.1703674184733813E-2</v>
      </c>
      <c r="M87" s="32">
        <v>500000</v>
      </c>
      <c r="N87" s="33">
        <f>P87+1.9%</f>
        <v>3.1699999999999999E-2</v>
      </c>
      <c r="O87" s="35" t="s">
        <v>4</v>
      </c>
      <c r="P87" s="33">
        <v>1.2699999999999999E-2</v>
      </c>
      <c r="Q87" s="32">
        <v>500000</v>
      </c>
      <c r="R87" s="34">
        <v>43493</v>
      </c>
      <c r="S87" s="42">
        <f>(R87-B87)/365.2421875</f>
        <v>5.998759384825993</v>
      </c>
      <c r="U87" s="7" t="s">
        <v>3</v>
      </c>
      <c r="V87" s="7">
        <v>4</v>
      </c>
      <c r="W87" s="43"/>
      <c r="X87" s="7" t="s">
        <v>2</v>
      </c>
    </row>
    <row r="88" spans="1:35">
      <c r="A88" s="7" t="s">
        <v>177</v>
      </c>
      <c r="B88" s="34">
        <v>41171</v>
      </c>
      <c r="C88" s="7" t="s">
        <v>39</v>
      </c>
      <c r="D88" s="52">
        <v>58600000000</v>
      </c>
      <c r="E88" s="40" t="s">
        <v>7</v>
      </c>
      <c r="F88" s="7" t="s">
        <v>38</v>
      </c>
      <c r="G88" s="7" t="s">
        <v>5</v>
      </c>
      <c r="H88" s="36">
        <v>1500000000</v>
      </c>
      <c r="I88" s="36">
        <v>165000</v>
      </c>
      <c r="J88" s="36">
        <f>I88/(H88/M88)</f>
        <v>110</v>
      </c>
      <c r="K88" s="41">
        <f>RATE(S88*4,N88/4*(Q88+J88),-M88,Q88+J88)</f>
        <v>8.430999805282809E-3</v>
      </c>
      <c r="L88" s="37">
        <f>K88*4</f>
        <v>3.3723999221131236E-2</v>
      </c>
      <c r="M88" s="32">
        <v>1000000</v>
      </c>
      <c r="N88" s="33">
        <v>3.3700000000000001E-2</v>
      </c>
      <c r="O88" s="35" t="s">
        <v>4</v>
      </c>
      <c r="P88" s="33">
        <v>1.4999999999999999E-2</v>
      </c>
      <c r="Q88" s="32">
        <v>1000000</v>
      </c>
      <c r="R88" s="34">
        <v>42997</v>
      </c>
      <c r="S88" s="42">
        <f>(R88-B88)/365.2421875</f>
        <v>4.9994224722465832</v>
      </c>
      <c r="U88" s="7" t="s">
        <v>3</v>
      </c>
      <c r="V88" s="7">
        <v>4</v>
      </c>
      <c r="W88" s="43"/>
      <c r="X88" s="7" t="s">
        <v>2</v>
      </c>
      <c r="AE88" s="7" t="s">
        <v>37</v>
      </c>
      <c r="AH88" s="7" t="s">
        <v>36</v>
      </c>
    </row>
    <row r="89" spans="1:35">
      <c r="A89" s="7" t="s">
        <v>176</v>
      </c>
      <c r="B89" s="34">
        <v>41248</v>
      </c>
      <c r="C89" s="7" t="s">
        <v>39</v>
      </c>
      <c r="D89" s="52">
        <v>58600000000</v>
      </c>
      <c r="E89" s="40" t="s">
        <v>7</v>
      </c>
      <c r="F89" s="7" t="s">
        <v>38</v>
      </c>
      <c r="G89" s="7" t="s">
        <v>17</v>
      </c>
      <c r="H89" s="36">
        <v>1500000000</v>
      </c>
      <c r="I89" s="36">
        <v>35000</v>
      </c>
      <c r="J89" s="36">
        <f>I89/(H89/M89)</f>
        <v>23.333333333333332</v>
      </c>
      <c r="K89" s="41">
        <f>RATE(S89*4,N89/4*(Q89+J89),-M89,Q89+J89)</f>
        <v>1.1075973994835385E-2</v>
      </c>
      <c r="L89" s="37">
        <f>K89*4</f>
        <v>4.4303895979341541E-2</v>
      </c>
      <c r="M89" s="32">
        <v>1000000</v>
      </c>
      <c r="N89" s="33">
        <v>4.4299999999999999E-2</v>
      </c>
      <c r="Q89" s="32">
        <v>1000000</v>
      </c>
      <c r="R89" s="34">
        <v>43804</v>
      </c>
      <c r="S89" s="42">
        <f>(R89-B89)/365.2421875</f>
        <v>6.9980962974054028</v>
      </c>
      <c r="U89" s="7" t="s">
        <v>16</v>
      </c>
      <c r="V89" s="7">
        <v>1</v>
      </c>
      <c r="W89" s="43">
        <f>MDURATION(B89,R89,N89,L89,V89)</f>
        <v>5.9077931193126032</v>
      </c>
      <c r="X89" s="7" t="s">
        <v>2</v>
      </c>
      <c r="AE89" s="7" t="s">
        <v>37</v>
      </c>
      <c r="AH89" s="7" t="s">
        <v>36</v>
      </c>
    </row>
    <row r="90" spans="1:35">
      <c r="A90" s="7" t="s">
        <v>175</v>
      </c>
      <c r="B90" s="34">
        <v>41232</v>
      </c>
      <c r="C90" s="7" t="s">
        <v>174</v>
      </c>
      <c r="D90" s="52">
        <f>295000000*5.92</f>
        <v>1746400000</v>
      </c>
      <c r="E90" s="40" t="s">
        <v>7</v>
      </c>
      <c r="F90" s="7" t="s">
        <v>53</v>
      </c>
      <c r="G90" s="7" t="s">
        <v>5</v>
      </c>
      <c r="H90" s="36">
        <v>600000000</v>
      </c>
      <c r="I90" s="36">
        <v>60000</v>
      </c>
      <c r="J90" s="36">
        <f>I90/(H90/M90)</f>
        <v>100</v>
      </c>
      <c r="K90" s="41">
        <f>RATE(S90*4,N90/4*(Q90+J90),-M90,Q90+J90)</f>
        <v>1.715603536767013E-2</v>
      </c>
      <c r="L90" s="37">
        <f>K90*4</f>
        <v>6.8624141470680522E-2</v>
      </c>
      <c r="M90" s="32">
        <v>1000000</v>
      </c>
      <c r="N90" s="33">
        <v>6.8599999999999994E-2</v>
      </c>
      <c r="O90" s="35" t="s">
        <v>4</v>
      </c>
      <c r="P90" s="33">
        <v>0.05</v>
      </c>
      <c r="Q90" s="32">
        <v>1000000</v>
      </c>
      <c r="R90" s="34">
        <v>43027</v>
      </c>
      <c r="S90" s="42">
        <f>(R90-B90)/365.2421875</f>
        <v>4.9145472824110712</v>
      </c>
      <c r="U90" s="7" t="s">
        <v>3</v>
      </c>
      <c r="V90" s="7">
        <v>4</v>
      </c>
      <c r="W90" s="43"/>
      <c r="X90" s="7" t="s">
        <v>98</v>
      </c>
      <c r="Y90" s="7" t="s">
        <v>156</v>
      </c>
      <c r="AI90" s="7" t="s">
        <v>22</v>
      </c>
    </row>
    <row r="91" spans="1:35">
      <c r="A91" s="7" t="s">
        <v>173</v>
      </c>
      <c r="B91" s="34">
        <v>41313</v>
      </c>
      <c r="C91" s="7" t="s">
        <v>143</v>
      </c>
      <c r="D91" s="52">
        <v>1500000000</v>
      </c>
      <c r="E91" s="40" t="s">
        <v>7</v>
      </c>
      <c r="F91" s="7" t="s">
        <v>6</v>
      </c>
      <c r="G91" s="7" t="s">
        <v>17</v>
      </c>
      <c r="H91" s="36">
        <v>300000000</v>
      </c>
      <c r="I91" s="36">
        <f>750000+75000+11000+6000+13000+62000+50000+130000</f>
        <v>1097000</v>
      </c>
      <c r="J91" s="36">
        <f>I91/(H91/M91)</f>
        <v>3656.6666666666665</v>
      </c>
      <c r="K91" s="41">
        <f>RATE(S91*4,N91/4*(Q91+J91),-M91,Q91+J91)</f>
        <v>1.2616563627869386E-2</v>
      </c>
      <c r="L91" s="37">
        <f>K91*4</f>
        <v>5.0466254511477543E-2</v>
      </c>
      <c r="M91" s="32">
        <v>1000000</v>
      </c>
      <c r="N91" s="33">
        <v>0.05</v>
      </c>
      <c r="Q91" s="32">
        <v>1000000</v>
      </c>
      <c r="R91" s="34">
        <v>44965</v>
      </c>
      <c r="S91" s="42">
        <f>(R91-B91)/365.2421875</f>
        <v>9.9988449444931664</v>
      </c>
      <c r="U91" s="7" t="s">
        <v>16</v>
      </c>
      <c r="V91" s="7">
        <v>1</v>
      </c>
      <c r="W91" s="43">
        <f>MDURATION(B91,R91,N91,L91,V91)</f>
        <v>7.7145683296631127</v>
      </c>
      <c r="X91" s="7" t="s">
        <v>2</v>
      </c>
      <c r="AB91" s="7" t="s">
        <v>37</v>
      </c>
      <c r="AH91" s="7" t="s">
        <v>36</v>
      </c>
      <c r="AI91" s="7" t="s">
        <v>22</v>
      </c>
    </row>
    <row r="92" spans="1:35">
      <c r="A92" s="7" t="s">
        <v>172</v>
      </c>
      <c r="B92" s="34">
        <v>41304</v>
      </c>
      <c r="C92" s="7" t="s">
        <v>171</v>
      </c>
      <c r="D92" s="52">
        <f>360000000*5.92</f>
        <v>2131200000</v>
      </c>
      <c r="E92" s="40" t="s">
        <v>7</v>
      </c>
      <c r="F92" s="7" t="s">
        <v>53</v>
      </c>
      <c r="G92" s="7" t="s">
        <v>5</v>
      </c>
      <c r="H92" s="36">
        <v>600000000</v>
      </c>
      <c r="I92" s="36">
        <v>170000</v>
      </c>
      <c r="J92" s="36">
        <f>I92/(H92/M92)</f>
        <v>283.33333333333331</v>
      </c>
      <c r="K92" s="41">
        <f>RATE(S92*4,N92/4*(Q92+J92),-M92,Q92+J92)</f>
        <v>1.6491743546066528E-2</v>
      </c>
      <c r="L92" s="37">
        <f>K92*4</f>
        <v>6.5966974184266114E-2</v>
      </c>
      <c r="M92" s="32">
        <v>1000000</v>
      </c>
      <c r="N92" s="33">
        <v>6.59E-2</v>
      </c>
      <c r="O92" s="35" t="s">
        <v>4</v>
      </c>
      <c r="P92" s="33">
        <v>4.7500000000000001E-2</v>
      </c>
      <c r="Q92" s="32">
        <v>1000000</v>
      </c>
      <c r="R92" s="34">
        <v>43130</v>
      </c>
      <c r="S92" s="42">
        <f>(R92-B92)/365.2421875</f>
        <v>4.9994224722465832</v>
      </c>
      <c r="U92" s="7" t="s">
        <v>3</v>
      </c>
      <c r="V92" s="7">
        <v>4</v>
      </c>
      <c r="W92" s="43"/>
      <c r="X92" s="7" t="s">
        <v>2</v>
      </c>
      <c r="AD92" s="7" t="s">
        <v>88</v>
      </c>
      <c r="AH92" s="7" t="s">
        <v>80</v>
      </c>
      <c r="AI92" s="7" t="s">
        <v>22</v>
      </c>
    </row>
    <row r="93" spans="1:35">
      <c r="A93" s="7" t="s">
        <v>170</v>
      </c>
      <c r="B93" s="34">
        <v>41296</v>
      </c>
      <c r="C93" s="7" t="s">
        <v>169</v>
      </c>
      <c r="D93" s="52">
        <v>5200000000</v>
      </c>
      <c r="E93" s="40" t="s">
        <v>7</v>
      </c>
      <c r="F93" s="7" t="s">
        <v>53</v>
      </c>
      <c r="G93" s="7" t="s">
        <v>5</v>
      </c>
      <c r="H93" s="36">
        <v>1300000000</v>
      </c>
      <c r="I93" s="36">
        <v>65000</v>
      </c>
      <c r="J93" s="36">
        <f>I93/(H93/M93)</f>
        <v>50</v>
      </c>
      <c r="K93" s="41">
        <f>RATE(S93*4,N93/4*(Q93+J93),-M93,Q93+J93)</f>
        <v>1.7127819971727704E-2</v>
      </c>
      <c r="L93" s="37">
        <f>K93*4</f>
        <v>6.8511279886910817E-2</v>
      </c>
      <c r="M93" s="32">
        <v>1000000</v>
      </c>
      <c r="N93" s="33">
        <v>6.8500000000000005E-2</v>
      </c>
      <c r="O93" s="35" t="s">
        <v>4</v>
      </c>
      <c r="P93" s="33">
        <v>0.05</v>
      </c>
      <c r="Q93" s="32">
        <v>1000000</v>
      </c>
      <c r="R93" s="34">
        <v>43242</v>
      </c>
      <c r="S93" s="42">
        <f>(R93-B93)/365.2421875</f>
        <v>5.3279715941904984</v>
      </c>
      <c r="U93" s="7" t="s">
        <v>3</v>
      </c>
      <c r="V93" s="7">
        <v>4</v>
      </c>
      <c r="W93" s="43"/>
      <c r="X93" s="7" t="s">
        <v>2</v>
      </c>
      <c r="AD93" s="7" t="s">
        <v>52</v>
      </c>
      <c r="AH93" s="7" t="s">
        <v>51</v>
      </c>
      <c r="AI93" s="7" t="s">
        <v>22</v>
      </c>
    </row>
    <row r="94" spans="1:35">
      <c r="A94" s="7" t="s">
        <v>168</v>
      </c>
      <c r="B94" s="34">
        <v>41324</v>
      </c>
      <c r="C94" s="7" t="s">
        <v>152</v>
      </c>
      <c r="D94" s="52">
        <v>4200000000</v>
      </c>
      <c r="E94" s="40" t="s">
        <v>7</v>
      </c>
      <c r="F94" s="7" t="s">
        <v>25</v>
      </c>
      <c r="G94" s="7" t="s">
        <v>5</v>
      </c>
      <c r="H94" s="36">
        <v>1500000000</v>
      </c>
      <c r="I94" s="36">
        <v>105000</v>
      </c>
      <c r="J94" s="36">
        <f>I94/(H94/M94)</f>
        <v>35</v>
      </c>
      <c r="K94" s="41">
        <f>RATE(S94*4,N94/4*(Q94+J94),-M94,Q94+J94)</f>
        <v>7.0561077802271171E-3</v>
      </c>
      <c r="L94" s="37">
        <f>K94*4</f>
        <v>2.8224431120908468E-2</v>
      </c>
      <c r="M94" s="32">
        <v>500000</v>
      </c>
      <c r="N94" s="33">
        <f>1.94%+P94</f>
        <v>2.8200000000000003E-2</v>
      </c>
      <c r="O94" s="35" t="s">
        <v>4</v>
      </c>
      <c r="P94" s="33">
        <v>8.8000000000000005E-3</v>
      </c>
      <c r="Q94" s="32">
        <v>500000</v>
      </c>
      <c r="R94" s="34">
        <v>42419</v>
      </c>
      <c r="S94" s="42">
        <f>(R94-B94)/365.2421875</f>
        <v>2.9980107377382303</v>
      </c>
      <c r="U94" s="7" t="s">
        <v>3</v>
      </c>
      <c r="V94" s="7">
        <v>4</v>
      </c>
      <c r="W94" s="43"/>
      <c r="X94" s="7" t="s">
        <v>2</v>
      </c>
    </row>
    <row r="95" spans="1:35">
      <c r="A95" s="7" t="s">
        <v>167</v>
      </c>
      <c r="B95" s="34">
        <v>41323</v>
      </c>
      <c r="C95" s="7" t="s">
        <v>166</v>
      </c>
      <c r="D95" s="52">
        <v>6000000000</v>
      </c>
      <c r="E95" s="40" t="s">
        <v>7</v>
      </c>
      <c r="F95" s="7" t="s">
        <v>25</v>
      </c>
      <c r="G95" s="7" t="s">
        <v>17</v>
      </c>
      <c r="H95" s="36">
        <v>1000000000</v>
      </c>
      <c r="I95" s="36">
        <v>30000</v>
      </c>
      <c r="J95" s="36">
        <f>I95/(H95/M95)</f>
        <v>30</v>
      </c>
      <c r="K95" s="41">
        <f>RATE(S95*4,N95/4*(Q95+J95),-M95,Q95+J95)</f>
        <v>1.1376123683137606E-2</v>
      </c>
      <c r="L95" s="37">
        <f>K95*4</f>
        <v>4.5504494732550423E-2</v>
      </c>
      <c r="M95" s="32">
        <v>1000000</v>
      </c>
      <c r="N95" s="33">
        <v>4.5499999999999999E-2</v>
      </c>
      <c r="Q95" s="32">
        <v>1000000</v>
      </c>
      <c r="R95" s="34">
        <v>44245</v>
      </c>
      <c r="S95" s="42">
        <f>(R95-B95)/365.2421875</f>
        <v>8.000171119334345</v>
      </c>
      <c r="U95" s="7" t="s">
        <v>16</v>
      </c>
      <c r="V95" s="7">
        <v>1</v>
      </c>
      <c r="W95" s="43">
        <f>MDURATION(B95,R95,N95,L95,V95)</f>
        <v>6.5823863231348749</v>
      </c>
      <c r="X95" s="7" t="s">
        <v>2</v>
      </c>
    </row>
    <row r="96" spans="1:35">
      <c r="A96" s="7" t="s">
        <v>165</v>
      </c>
      <c r="B96" s="34">
        <v>41191</v>
      </c>
      <c r="C96" s="7" t="s">
        <v>164</v>
      </c>
      <c r="D96" s="52">
        <f>2000000000*5.92</f>
        <v>11840000000</v>
      </c>
      <c r="E96" s="40" t="s">
        <v>7</v>
      </c>
      <c r="F96" s="7" t="s">
        <v>53</v>
      </c>
      <c r="G96" s="7" t="s">
        <v>5</v>
      </c>
      <c r="H96" s="36">
        <v>700000000</v>
      </c>
      <c r="I96" s="36">
        <v>65000</v>
      </c>
      <c r="J96" s="36">
        <f>I96/(H96/M96)</f>
        <v>92.857142857142861</v>
      </c>
      <c r="K96" s="41">
        <f>RATE(S96*4,N96/4*(Q96+J96),-M96,Q96+J96)</f>
        <v>1.6783612373950312E-2</v>
      </c>
      <c r="L96" s="37">
        <f>K96*4</f>
        <v>6.7134449495801246E-2</v>
      </c>
      <c r="M96" s="32">
        <v>1000000</v>
      </c>
      <c r="N96" s="33">
        <f>1.96%+P96</f>
        <v>6.7099999999999993E-2</v>
      </c>
      <c r="O96" s="35" t="s">
        <v>4</v>
      </c>
      <c r="P96" s="33">
        <v>4.7500000000000001E-2</v>
      </c>
      <c r="Q96" s="32">
        <v>1000000</v>
      </c>
      <c r="R96" s="34">
        <v>42286</v>
      </c>
      <c r="S96" s="42">
        <f>(R96-B96)/365.2421875</f>
        <v>2.9980107377382303</v>
      </c>
      <c r="U96" s="7" t="s">
        <v>3</v>
      </c>
      <c r="V96" s="7">
        <v>4</v>
      </c>
      <c r="W96" s="43"/>
      <c r="X96" s="7" t="s">
        <v>28</v>
      </c>
      <c r="Y96" s="7" t="s">
        <v>51</v>
      </c>
      <c r="AH96" s="7" t="s">
        <v>51</v>
      </c>
      <c r="AI96" s="7" t="s">
        <v>91</v>
      </c>
    </row>
    <row r="97" spans="1:35">
      <c r="A97" s="7" t="s">
        <v>163</v>
      </c>
      <c r="B97" s="34">
        <v>41291</v>
      </c>
      <c r="C97" s="7" t="s">
        <v>62</v>
      </c>
      <c r="D97" s="52">
        <f>510000000*5.92</f>
        <v>3019200000</v>
      </c>
      <c r="E97" s="40" t="s">
        <v>7</v>
      </c>
      <c r="F97" s="7" t="s">
        <v>53</v>
      </c>
      <c r="G97" s="7" t="s">
        <v>5</v>
      </c>
      <c r="H97" s="36">
        <v>900000000</v>
      </c>
      <c r="I97" s="36">
        <v>80000</v>
      </c>
      <c r="J97" s="36">
        <f>I97/(H97/M97)</f>
        <v>88.888888888888886</v>
      </c>
      <c r="K97" s="41">
        <f>RATE(S97*4,N97/4*(Q97+J97),-M97,Q97+J97)</f>
        <v>1.405386256735556E-2</v>
      </c>
      <c r="L97" s="37">
        <f>K97*4</f>
        <v>5.6215450269422242E-2</v>
      </c>
      <c r="M97" s="32">
        <v>1000000</v>
      </c>
      <c r="N97" s="33">
        <v>5.62E-2</v>
      </c>
      <c r="O97" s="35" t="s">
        <v>4</v>
      </c>
      <c r="P97" s="33">
        <v>3.7499999999999999E-2</v>
      </c>
      <c r="Q97" s="32">
        <v>1000000</v>
      </c>
      <c r="R97" s="34">
        <v>43847</v>
      </c>
      <c r="S97" s="42">
        <f>(R97-B97)/365.2421875</f>
        <v>6.9980962974054028</v>
      </c>
      <c r="U97" s="7" t="s">
        <v>3</v>
      </c>
      <c r="V97" s="7">
        <v>4</v>
      </c>
      <c r="W97" s="43"/>
      <c r="X97" s="7" t="s">
        <v>28</v>
      </c>
      <c r="AB97" s="7" t="s">
        <v>11</v>
      </c>
      <c r="AH97" s="7" t="s">
        <v>10</v>
      </c>
    </row>
    <row r="98" spans="1:35">
      <c r="A98" s="7" t="s">
        <v>162</v>
      </c>
      <c r="B98" s="34">
        <v>41327</v>
      </c>
      <c r="C98" s="7" t="s">
        <v>161</v>
      </c>
      <c r="D98" s="52">
        <v>1200000000</v>
      </c>
      <c r="E98" s="40" t="s">
        <v>19</v>
      </c>
      <c r="F98" s="7" t="s">
        <v>18</v>
      </c>
      <c r="G98" s="7" t="s">
        <v>5</v>
      </c>
      <c r="H98" s="36">
        <v>500000000</v>
      </c>
      <c r="I98" s="36">
        <v>40000</v>
      </c>
      <c r="J98" s="36">
        <f>I98/(H98/M98)</f>
        <v>80</v>
      </c>
      <c r="K98" s="41">
        <f>RATE(S98*4,N98/4*(Q98+J98),-M98,Q98+J98)</f>
        <v>1.1027484284221234E-2</v>
      </c>
      <c r="L98" s="37">
        <f>K98*4</f>
        <v>4.4109937136884936E-2</v>
      </c>
      <c r="M98" s="32">
        <v>1000000</v>
      </c>
      <c r="N98" s="33">
        <v>4.41E-2</v>
      </c>
      <c r="O98" s="35" t="s">
        <v>4</v>
      </c>
      <c r="P98" s="33">
        <v>2.5000000000000001E-2</v>
      </c>
      <c r="Q98" s="32">
        <v>1000000</v>
      </c>
      <c r="R98" s="34">
        <v>44979</v>
      </c>
      <c r="S98" s="42">
        <f>(R98-B98)/365.2421875</f>
        <v>9.9988449444931664</v>
      </c>
      <c r="U98" s="7" t="s">
        <v>3</v>
      </c>
      <c r="V98" s="7">
        <v>4</v>
      </c>
      <c r="W98" s="43"/>
      <c r="X98" s="7" t="s">
        <v>56</v>
      </c>
      <c r="Y98" s="7" t="s">
        <v>36</v>
      </c>
      <c r="AH98" s="7" t="s">
        <v>36</v>
      </c>
      <c r="AI98" s="7" t="s">
        <v>22</v>
      </c>
    </row>
    <row r="99" spans="1:35">
      <c r="A99" s="7" t="s">
        <v>160</v>
      </c>
      <c r="B99" s="34">
        <v>40950</v>
      </c>
      <c r="C99" s="7" t="s">
        <v>159</v>
      </c>
      <c r="D99" s="52">
        <f>522000000*6</f>
        <v>3132000000</v>
      </c>
      <c r="E99" s="40" t="s">
        <v>7</v>
      </c>
      <c r="F99" s="7" t="s">
        <v>53</v>
      </c>
      <c r="G99" s="7" t="s">
        <v>5</v>
      </c>
      <c r="H99" s="36">
        <v>750000000</v>
      </c>
      <c r="I99" s="36">
        <v>50000</v>
      </c>
      <c r="J99" s="36">
        <f>I99/(H99/M99)</f>
        <v>33.333333333333336</v>
      </c>
      <c r="K99" s="41">
        <f>RATE(S99*4,N99/4*(Q99+J99),-M99,Q99+J99)</f>
        <v>2.4530928424575511E-2</v>
      </c>
      <c r="L99" s="37">
        <f>K99*4</f>
        <v>9.8123713698302042E-2</v>
      </c>
      <c r="M99" s="32">
        <v>500000</v>
      </c>
      <c r="N99" s="33">
        <v>9.8100000000000007E-2</v>
      </c>
      <c r="O99" s="35" t="s">
        <v>4</v>
      </c>
      <c r="P99" s="33">
        <v>7.7499999999999999E-2</v>
      </c>
      <c r="Q99" s="32">
        <v>500000</v>
      </c>
      <c r="R99" s="34">
        <v>42166</v>
      </c>
      <c r="S99" s="42">
        <f>(R99-B99)/365.2421875</f>
        <v>3.3292977690316783</v>
      </c>
      <c r="U99" s="7" t="s">
        <v>3</v>
      </c>
      <c r="V99" s="7">
        <v>4</v>
      </c>
      <c r="W99" s="43"/>
      <c r="X99" s="7" t="s">
        <v>28</v>
      </c>
      <c r="Y99" s="7" t="s">
        <v>65</v>
      </c>
      <c r="AH99" s="7" t="s">
        <v>65</v>
      </c>
      <c r="AI99" s="7" t="s">
        <v>91</v>
      </c>
    </row>
    <row r="100" spans="1:35">
      <c r="A100" s="7" t="s">
        <v>158</v>
      </c>
      <c r="B100" s="34">
        <v>41330</v>
      </c>
      <c r="C100" s="7" t="s">
        <v>157</v>
      </c>
      <c r="D100" s="52">
        <v>830000000</v>
      </c>
      <c r="E100" s="40" t="s">
        <v>7</v>
      </c>
      <c r="F100" s="7" t="s">
        <v>53</v>
      </c>
      <c r="G100" s="7" t="s">
        <v>17</v>
      </c>
      <c r="K100" s="41"/>
      <c r="M100" s="32">
        <v>1000000</v>
      </c>
      <c r="N100" s="33">
        <v>0.105</v>
      </c>
      <c r="Q100" s="32">
        <v>1000000</v>
      </c>
      <c r="R100" s="34">
        <v>42425</v>
      </c>
      <c r="S100" s="42">
        <f>(R100-B100)/365.2421875</f>
        <v>2.9980107377382303</v>
      </c>
      <c r="U100" s="7" t="s">
        <v>3</v>
      </c>
      <c r="V100" s="7">
        <v>4</v>
      </c>
      <c r="W100" s="43"/>
      <c r="X100" s="7" t="s">
        <v>56</v>
      </c>
      <c r="Y100" s="7" t="s">
        <v>156</v>
      </c>
      <c r="AH100" s="7" t="s">
        <v>156</v>
      </c>
      <c r="AI100" s="7" t="s">
        <v>22</v>
      </c>
    </row>
    <row r="101" spans="1:35">
      <c r="A101" s="7" t="s">
        <v>155</v>
      </c>
      <c r="B101" s="34">
        <v>40997</v>
      </c>
      <c r="C101" s="7" t="s">
        <v>154</v>
      </c>
      <c r="D101" s="52">
        <v>360000000</v>
      </c>
      <c r="E101" s="40" t="s">
        <v>19</v>
      </c>
      <c r="F101" s="7" t="s">
        <v>18</v>
      </c>
      <c r="G101" s="7" t="s">
        <v>57</v>
      </c>
      <c r="H101" s="36">
        <v>110000000</v>
      </c>
      <c r="I101" s="36">
        <v>50000</v>
      </c>
      <c r="J101" s="36">
        <f>I101/(H101/M101)</f>
        <v>45.454545454545453</v>
      </c>
      <c r="K101" s="41"/>
      <c r="M101" s="32">
        <v>100000</v>
      </c>
      <c r="N101" s="33">
        <f>2.49%+P101</f>
        <v>8.4900000000000003E-2</v>
      </c>
      <c r="O101" s="35" t="s">
        <v>4</v>
      </c>
      <c r="P101" s="33">
        <v>0.06</v>
      </c>
      <c r="Q101" s="32">
        <v>100000</v>
      </c>
      <c r="S101" s="42"/>
      <c r="U101" s="7" t="s">
        <v>3</v>
      </c>
      <c r="V101" s="7">
        <v>4</v>
      </c>
      <c r="W101" s="43"/>
      <c r="X101" s="7" t="s">
        <v>56</v>
      </c>
    </row>
    <row r="102" spans="1:35">
      <c r="A102" s="7" t="s">
        <v>153</v>
      </c>
      <c r="B102" s="34">
        <v>41375</v>
      </c>
      <c r="C102" s="7" t="s">
        <v>152</v>
      </c>
      <c r="D102" s="52">
        <v>4200000000</v>
      </c>
      <c r="E102" s="40" t="s">
        <v>7</v>
      </c>
      <c r="F102" s="7" t="s">
        <v>25</v>
      </c>
      <c r="G102" s="7" t="s">
        <v>17</v>
      </c>
      <c r="H102" s="36">
        <v>1500000000</v>
      </c>
      <c r="I102" s="36">
        <v>105000</v>
      </c>
      <c r="J102" s="36">
        <f>I102/(H102/M102)</f>
        <v>35</v>
      </c>
      <c r="K102" s="41">
        <f>RATE(S102*4,N102/4*(Q102+J102),-M102,Q102+J102)</f>
        <v>1.0377147240882552E-2</v>
      </c>
      <c r="L102" s="37">
        <f>K102*4</f>
        <v>4.1508588963530206E-2</v>
      </c>
      <c r="M102" s="32">
        <v>500000</v>
      </c>
      <c r="N102" s="33">
        <v>4.1500000000000002E-2</v>
      </c>
      <c r="Q102" s="32">
        <v>500000</v>
      </c>
      <c r="R102" s="34">
        <v>45027</v>
      </c>
      <c r="S102" s="42">
        <f>(R102-B102)/365.2421875</f>
        <v>9.9988449444931664</v>
      </c>
      <c r="U102" s="7" t="s">
        <v>16</v>
      </c>
      <c r="V102" s="7">
        <v>1</v>
      </c>
      <c r="W102" s="43">
        <f>MDURATION(B102,R102,N102,L102,V102)</f>
        <v>8.0505381429794571</v>
      </c>
      <c r="X102" s="7" t="s">
        <v>2</v>
      </c>
    </row>
    <row r="103" spans="1:35">
      <c r="A103" s="7" t="s">
        <v>151</v>
      </c>
      <c r="B103" s="34">
        <v>41347</v>
      </c>
      <c r="C103" s="7" t="s">
        <v>47</v>
      </c>
      <c r="D103" s="52">
        <v>420000000</v>
      </c>
      <c r="E103" s="40" t="s">
        <v>19</v>
      </c>
      <c r="F103" s="7" t="s">
        <v>18</v>
      </c>
      <c r="G103" s="7" t="s">
        <v>33</v>
      </c>
      <c r="K103" s="41"/>
      <c r="M103" s="32">
        <v>1000000</v>
      </c>
      <c r="N103" s="33">
        <f>1.89%+P103</f>
        <v>2.35E-2</v>
      </c>
      <c r="O103" s="35" t="s">
        <v>4</v>
      </c>
      <c r="P103" s="33">
        <v>4.5999999999999999E-3</v>
      </c>
      <c r="Q103" s="32">
        <v>1000000</v>
      </c>
      <c r="R103" s="34">
        <v>43357</v>
      </c>
      <c r="S103" s="42">
        <f>(R103-B103)/365.2421875</f>
        <v>5.5031977925605871</v>
      </c>
      <c r="T103" s="34">
        <v>43724</v>
      </c>
      <c r="U103" s="7" t="s">
        <v>3</v>
      </c>
      <c r="V103" s="7">
        <v>4</v>
      </c>
      <c r="W103" s="43"/>
      <c r="X103" s="7" t="s">
        <v>2</v>
      </c>
      <c r="Y103" s="7" t="s">
        <v>46</v>
      </c>
      <c r="AH103" s="7" t="s">
        <v>46</v>
      </c>
      <c r="AI103" s="7" t="s">
        <v>22</v>
      </c>
    </row>
    <row r="104" spans="1:35">
      <c r="A104" s="7" t="s">
        <v>150</v>
      </c>
      <c r="B104" s="34">
        <v>41256</v>
      </c>
      <c r="C104" s="7" t="s">
        <v>148</v>
      </c>
      <c r="D104" s="52">
        <v>14300000000</v>
      </c>
      <c r="E104" s="40" t="s">
        <v>7</v>
      </c>
      <c r="F104" s="7" t="s">
        <v>147</v>
      </c>
      <c r="G104" s="7" t="s">
        <v>17</v>
      </c>
      <c r="H104" s="36">
        <v>750000000</v>
      </c>
      <c r="I104" s="36">
        <v>90000</v>
      </c>
      <c r="J104" s="36">
        <f>I104/(H104/M104)</f>
        <v>120</v>
      </c>
      <c r="K104" s="41">
        <f>RATE(S104*4,N104/4*(Q104+J104),-M104,Q104+J104)</f>
        <v>1.3503902425841341E-2</v>
      </c>
      <c r="L104" s="37">
        <f>K104*4</f>
        <v>5.4015609703365365E-2</v>
      </c>
      <c r="M104" s="32">
        <v>1000000</v>
      </c>
      <c r="N104" s="33">
        <v>5.3999999999999999E-2</v>
      </c>
      <c r="Q104" s="32">
        <v>1000000</v>
      </c>
      <c r="R104" s="34">
        <v>44908</v>
      </c>
      <c r="S104" s="42">
        <f>(R104-B104)/365.2421875</f>
        <v>9.9988449444931664</v>
      </c>
      <c r="U104" s="7" t="s">
        <v>16</v>
      </c>
      <c r="V104" s="7">
        <v>1</v>
      </c>
      <c r="W104" s="43">
        <f>MDURATION(B104,R104,N104,L104,V104)</f>
        <v>7.5736709915911078</v>
      </c>
      <c r="X104" s="7" t="s">
        <v>2</v>
      </c>
      <c r="AB104" s="7" t="s">
        <v>146</v>
      </c>
      <c r="AH104" s="7" t="s">
        <v>145</v>
      </c>
      <c r="AI104" s="7" t="s">
        <v>22</v>
      </c>
    </row>
    <row r="105" spans="1:35">
      <c r="A105" s="7" t="s">
        <v>149</v>
      </c>
      <c r="B105" s="34">
        <v>41256</v>
      </c>
      <c r="C105" s="7" t="s">
        <v>148</v>
      </c>
      <c r="D105" s="52">
        <v>14300000000</v>
      </c>
      <c r="E105" s="40" t="s">
        <v>7</v>
      </c>
      <c r="F105" s="7" t="s">
        <v>147</v>
      </c>
      <c r="G105" s="7" t="s">
        <v>5</v>
      </c>
      <c r="H105" s="36">
        <v>750000000</v>
      </c>
      <c r="I105" s="36">
        <v>90000</v>
      </c>
      <c r="J105" s="36">
        <f>I105/(H105/M105)</f>
        <v>120</v>
      </c>
      <c r="K105" s="41">
        <f>RATE(S105*4,N105/4*(Q105+J105),-M105,Q105+J105)</f>
        <v>1.0928719349795125E-2</v>
      </c>
      <c r="L105" s="37">
        <f>K105*4</f>
        <v>4.37148773991805E-2</v>
      </c>
      <c r="M105" s="32">
        <v>1000000</v>
      </c>
      <c r="N105" s="33">
        <v>4.3700000000000003E-2</v>
      </c>
      <c r="O105" s="35" t="s">
        <v>4</v>
      </c>
      <c r="P105" s="33">
        <v>2.5000000000000001E-2</v>
      </c>
      <c r="Q105" s="32">
        <v>1000000</v>
      </c>
      <c r="R105" s="34">
        <v>44908</v>
      </c>
      <c r="S105" s="42">
        <f>(R105-B105)/365.2421875</f>
        <v>9.9988449444931664</v>
      </c>
      <c r="U105" s="7" t="s">
        <v>3</v>
      </c>
      <c r="V105" s="7">
        <v>4</v>
      </c>
      <c r="W105" s="43"/>
      <c r="X105" s="7" t="s">
        <v>2</v>
      </c>
      <c r="AB105" s="7" t="s">
        <v>146</v>
      </c>
      <c r="AH105" s="7" t="s">
        <v>145</v>
      </c>
      <c r="AI105" s="7" t="s">
        <v>22</v>
      </c>
    </row>
    <row r="106" spans="1:35">
      <c r="A106" s="7" t="s">
        <v>144</v>
      </c>
      <c r="B106" s="34">
        <v>41353</v>
      </c>
      <c r="C106" s="7" t="s">
        <v>143</v>
      </c>
      <c r="D106" s="52">
        <v>1500000000</v>
      </c>
      <c r="E106" s="40" t="s">
        <v>7</v>
      </c>
      <c r="F106" s="7" t="s">
        <v>6</v>
      </c>
      <c r="G106" s="7" t="s">
        <v>5</v>
      </c>
      <c r="H106" s="36">
        <v>1500000000</v>
      </c>
      <c r="I106" s="36">
        <v>25000</v>
      </c>
      <c r="J106" s="36">
        <f>I106/(H106/M106)</f>
        <v>16.666666666666668</v>
      </c>
      <c r="K106" s="41">
        <f>RATE(S106*4,N106/4*(Q106+J106),-M106,Q106+J106)</f>
        <v>7.7508264711697271E-3</v>
      </c>
      <c r="L106" s="37">
        <f>K106*4</f>
        <v>3.1003305884678908E-2</v>
      </c>
      <c r="M106" s="32">
        <v>1000000</v>
      </c>
      <c r="N106" s="33">
        <v>3.1E-2</v>
      </c>
      <c r="O106" s="35" t="s">
        <v>4</v>
      </c>
      <c r="P106" s="33">
        <v>1.2500000000000001E-2</v>
      </c>
      <c r="Q106" s="32">
        <v>1000000</v>
      </c>
      <c r="R106" s="34">
        <v>43363</v>
      </c>
      <c r="S106" s="42">
        <f>(R106-B106)/365.2421875</f>
        <v>5.5031977925605871</v>
      </c>
      <c r="U106" s="7" t="s">
        <v>3</v>
      </c>
      <c r="V106" s="7">
        <v>4</v>
      </c>
      <c r="W106" s="43"/>
      <c r="X106" s="7" t="s">
        <v>2</v>
      </c>
      <c r="AB106" s="7" t="s">
        <v>37</v>
      </c>
      <c r="AH106" s="7" t="s">
        <v>36</v>
      </c>
    </row>
    <row r="107" spans="1:35">
      <c r="A107" s="7" t="s">
        <v>142</v>
      </c>
      <c r="B107" s="34">
        <v>41354</v>
      </c>
      <c r="C107" s="7" t="s">
        <v>141</v>
      </c>
      <c r="D107" s="52">
        <f>900000000*5.92</f>
        <v>5328000000</v>
      </c>
      <c r="E107" s="40" t="s">
        <v>7</v>
      </c>
      <c r="F107" s="7" t="s">
        <v>53</v>
      </c>
      <c r="G107" s="7" t="s">
        <v>5</v>
      </c>
      <c r="K107" s="41"/>
      <c r="M107" s="32">
        <v>1000000</v>
      </c>
      <c r="N107" s="33">
        <v>0.06</v>
      </c>
      <c r="O107" s="35" t="s">
        <v>4</v>
      </c>
      <c r="P107" s="33">
        <v>4.1500000000000002E-2</v>
      </c>
      <c r="Q107" s="32">
        <v>1000000</v>
      </c>
      <c r="R107" s="34">
        <v>43180</v>
      </c>
      <c r="S107" s="42">
        <f>(R107-B107)/365.2421875</f>
        <v>4.9994224722465832</v>
      </c>
      <c r="U107" s="7" t="s">
        <v>3</v>
      </c>
      <c r="V107" s="7">
        <v>4</v>
      </c>
      <c r="W107" s="43"/>
      <c r="X107" s="7" t="s">
        <v>28</v>
      </c>
      <c r="Y107" s="7" t="s">
        <v>0</v>
      </c>
      <c r="AH107" s="7" t="s">
        <v>0</v>
      </c>
      <c r="AI107" s="7" t="s">
        <v>22</v>
      </c>
    </row>
    <row r="108" spans="1:35">
      <c r="A108" s="7" t="s">
        <v>140</v>
      </c>
      <c r="B108" s="34">
        <v>41383</v>
      </c>
      <c r="C108" s="7" t="s">
        <v>26</v>
      </c>
      <c r="D108" s="52">
        <v>11500000000</v>
      </c>
      <c r="E108" s="40" t="s">
        <v>7</v>
      </c>
      <c r="F108" s="7" t="s">
        <v>25</v>
      </c>
      <c r="G108" s="7" t="s">
        <v>5</v>
      </c>
      <c r="H108" s="36">
        <v>750000000</v>
      </c>
      <c r="I108" s="36">
        <v>30000</v>
      </c>
      <c r="J108" s="36">
        <f>I108/(H108/M108)</f>
        <v>40</v>
      </c>
      <c r="K108" s="41">
        <f>RATE(S108*4,N108/4*(Q108+J108),-M108,Q108+J108)</f>
        <v>6.9030488641575157E-3</v>
      </c>
      <c r="L108" s="37">
        <f>K108*4</f>
        <v>2.7612195456630063E-2</v>
      </c>
      <c r="M108" s="32">
        <v>1000000</v>
      </c>
      <c r="N108" s="33">
        <f>1.86%+P108</f>
        <v>2.76E-2</v>
      </c>
      <c r="O108" s="35" t="s">
        <v>4</v>
      </c>
      <c r="P108" s="33">
        <v>8.9999999999999993E-3</v>
      </c>
      <c r="Q108" s="32">
        <v>1000000</v>
      </c>
      <c r="R108" s="34">
        <v>42643</v>
      </c>
      <c r="S108" s="42">
        <f>(R108-B108)/365.2421875</f>
        <v>3.4497657804111141</v>
      </c>
      <c r="U108" s="7" t="s">
        <v>3</v>
      </c>
      <c r="V108" s="7">
        <v>4</v>
      </c>
      <c r="W108" s="43"/>
      <c r="X108" s="7" t="s">
        <v>2</v>
      </c>
      <c r="AB108" s="7" t="s">
        <v>24</v>
      </c>
      <c r="AH108" s="7" t="s">
        <v>23</v>
      </c>
      <c r="AI108" s="7" t="s">
        <v>22</v>
      </c>
    </row>
    <row r="109" spans="1:35">
      <c r="A109" s="7" t="s">
        <v>139</v>
      </c>
      <c r="B109" s="34">
        <v>41368</v>
      </c>
      <c r="C109" s="7" t="s">
        <v>138</v>
      </c>
      <c r="D109" s="52">
        <v>9000000000</v>
      </c>
      <c r="E109" s="40" t="s">
        <v>7</v>
      </c>
      <c r="F109" s="7" t="s">
        <v>25</v>
      </c>
      <c r="G109" s="7" t="s">
        <v>5</v>
      </c>
      <c r="H109" s="36">
        <v>1000000000</v>
      </c>
      <c r="I109" s="36">
        <v>25000</v>
      </c>
      <c r="J109" s="36">
        <f>I109/(H109/M109)</f>
        <v>25</v>
      </c>
      <c r="K109" s="41">
        <f>RATE(S109*4,N109/4*(Q109+J109),-M109,Q109+J109)</f>
        <v>7.1763464326497902E-3</v>
      </c>
      <c r="L109" s="37">
        <f>K109*4</f>
        <v>2.8705385730599161E-2</v>
      </c>
      <c r="M109" s="32">
        <v>1000000</v>
      </c>
      <c r="N109" s="33">
        <v>2.87E-2</v>
      </c>
      <c r="O109" s="35" t="s">
        <v>4</v>
      </c>
      <c r="P109" s="33">
        <v>0.01</v>
      </c>
      <c r="Q109" s="32">
        <v>1000000</v>
      </c>
      <c r="R109" s="34">
        <v>43194</v>
      </c>
      <c r="S109" s="42">
        <f>(R109-B109)/365.2421875</f>
        <v>4.9994224722465832</v>
      </c>
      <c r="U109" s="7" t="s">
        <v>3</v>
      </c>
      <c r="V109" s="7">
        <v>4</v>
      </c>
      <c r="W109" s="43"/>
      <c r="X109" s="7" t="s">
        <v>2</v>
      </c>
    </row>
    <row r="110" spans="1:35">
      <c r="A110" s="7" t="s">
        <v>137</v>
      </c>
      <c r="B110" s="34">
        <v>41299</v>
      </c>
      <c r="C110" s="7" t="s">
        <v>34</v>
      </c>
      <c r="D110" s="52">
        <v>330000000</v>
      </c>
      <c r="E110" s="40" t="s">
        <v>19</v>
      </c>
      <c r="F110" s="7" t="s">
        <v>18</v>
      </c>
      <c r="G110" s="7" t="s">
        <v>33</v>
      </c>
      <c r="H110" s="36">
        <v>1050000000</v>
      </c>
      <c r="I110" s="36">
        <v>115000</v>
      </c>
      <c r="J110" s="36">
        <f>I110/(H110/M110)</f>
        <v>54.761904761904759</v>
      </c>
      <c r="K110" s="41">
        <f>RATE(S110*4,N110/4*(Q110+J110),-M110,Q110+J110)</f>
        <v>4.2182022628721012E-2</v>
      </c>
      <c r="L110" s="37">
        <f>K110*4</f>
        <v>0.16872809051488405</v>
      </c>
      <c r="M110" s="32">
        <v>500000</v>
      </c>
      <c r="N110" s="33">
        <v>2.58E-2</v>
      </c>
      <c r="O110" s="35" t="s">
        <v>4</v>
      </c>
      <c r="P110" s="33">
        <v>7.3000000000000001E-3</v>
      </c>
      <c r="Q110" s="32">
        <v>1000000</v>
      </c>
      <c r="R110" s="34">
        <v>43271</v>
      </c>
      <c r="S110" s="42">
        <f>(R110-B110)/365.2421875</f>
        <v>5.399157237278347</v>
      </c>
      <c r="T110" s="34">
        <v>43636</v>
      </c>
      <c r="U110" s="7" t="s">
        <v>3</v>
      </c>
      <c r="V110" s="7">
        <v>4</v>
      </c>
      <c r="W110" s="43"/>
      <c r="X110" s="7" t="s">
        <v>2</v>
      </c>
      <c r="Y110" s="7" t="s">
        <v>70</v>
      </c>
      <c r="AH110" s="7" t="s">
        <v>70</v>
      </c>
      <c r="AI110" s="7" t="s">
        <v>22</v>
      </c>
    </row>
    <row r="111" spans="1:35">
      <c r="A111" s="7" t="s">
        <v>136</v>
      </c>
      <c r="B111" s="34">
        <v>41400</v>
      </c>
      <c r="C111" s="7" t="s">
        <v>26</v>
      </c>
      <c r="D111" s="52">
        <v>11500000000</v>
      </c>
      <c r="E111" s="40" t="s">
        <v>7</v>
      </c>
      <c r="F111" s="7" t="s">
        <v>25</v>
      </c>
      <c r="G111" s="7" t="s">
        <v>17</v>
      </c>
      <c r="H111" s="36">
        <v>300000000</v>
      </c>
      <c r="I111" s="36">
        <v>30000</v>
      </c>
      <c r="J111" s="36">
        <f>I111/(H111/M111)</f>
        <v>100</v>
      </c>
      <c r="K111" s="41">
        <f>RATE(S111*4,N111/4*(Q111+J111),-M111,Q111+J111)</f>
        <v>9.1290626643075051E-3</v>
      </c>
      <c r="L111" s="37">
        <f>K111*4</f>
        <v>3.6516250657230021E-2</v>
      </c>
      <c r="M111" s="32">
        <v>1000000</v>
      </c>
      <c r="N111" s="33">
        <v>3.6499999999999998E-2</v>
      </c>
      <c r="Q111" s="32">
        <v>1000000</v>
      </c>
      <c r="R111" s="34">
        <v>43957</v>
      </c>
      <c r="S111" s="42">
        <f>(R111-B111)/365.2421875</f>
        <v>7.0008342067549361</v>
      </c>
      <c r="U111" s="7" t="s">
        <v>16</v>
      </c>
      <c r="V111" s="7">
        <v>1</v>
      </c>
      <c r="W111" s="43">
        <f>MDURATION(B111,R111,N111,L111,V111)</f>
        <v>6.0803267337917593</v>
      </c>
      <c r="X111" s="7" t="s">
        <v>2</v>
      </c>
      <c r="AB111" s="7" t="s">
        <v>24</v>
      </c>
      <c r="AH111" s="7" t="s">
        <v>23</v>
      </c>
      <c r="AI111" s="7" t="s">
        <v>22</v>
      </c>
    </row>
    <row r="112" spans="1:35">
      <c r="A112" s="7" t="s">
        <v>135</v>
      </c>
      <c r="B112" s="34">
        <v>41386</v>
      </c>
      <c r="C112" s="7" t="s">
        <v>104</v>
      </c>
      <c r="D112" s="52">
        <v>1300000000</v>
      </c>
      <c r="E112" s="40" t="s">
        <v>7</v>
      </c>
      <c r="F112" s="7" t="s">
        <v>25</v>
      </c>
      <c r="G112" s="7" t="s">
        <v>5</v>
      </c>
      <c r="H112" s="36">
        <v>500000000</v>
      </c>
      <c r="I112" s="36">
        <v>50000</v>
      </c>
      <c r="J112" s="36">
        <f>I112/(H112/M112)</f>
        <v>50</v>
      </c>
      <c r="K112" s="41">
        <f>RATE(S112*4,N112/4*(Q112+J112),-M112,Q112+J112)</f>
        <v>8.1532164103236722E-3</v>
      </c>
      <c r="L112" s="37">
        <f>K112*4</f>
        <v>3.2612865641294689E-2</v>
      </c>
      <c r="M112" s="32">
        <v>500000</v>
      </c>
      <c r="N112" s="33">
        <f>P112+1.86%</f>
        <v>3.2600000000000004E-2</v>
      </c>
      <c r="O112" s="35" t="s">
        <v>4</v>
      </c>
      <c r="P112" s="33">
        <v>1.4E-2</v>
      </c>
      <c r="Q112" s="32">
        <v>500000</v>
      </c>
      <c r="R112" s="34">
        <v>44673</v>
      </c>
      <c r="S112" s="42">
        <f>(R112-B112)/365.2421875</f>
        <v>8.9995080319137557</v>
      </c>
      <c r="U112" s="7" t="s">
        <v>3</v>
      </c>
      <c r="V112" s="7">
        <v>4</v>
      </c>
      <c r="W112" s="43"/>
      <c r="X112" s="7" t="s">
        <v>2</v>
      </c>
    </row>
    <row r="113" spans="1:35">
      <c r="A113" s="7" t="s">
        <v>134</v>
      </c>
      <c r="B113" s="34">
        <v>41390</v>
      </c>
      <c r="C113" s="7" t="s">
        <v>60</v>
      </c>
      <c r="D113" s="52">
        <v>2600000000</v>
      </c>
      <c r="E113" s="40" t="s">
        <v>7</v>
      </c>
      <c r="F113" s="7" t="s">
        <v>38</v>
      </c>
      <c r="G113" s="7" t="s">
        <v>5</v>
      </c>
      <c r="H113" s="36">
        <v>390000000</v>
      </c>
      <c r="I113" s="36">
        <v>40000</v>
      </c>
      <c r="J113" s="36">
        <f>I113/(H113/M113)</f>
        <v>102.56410256410257</v>
      </c>
      <c r="K113" s="41">
        <f>RATE(S113*4,N113/4*(Q113+J113),-M113,Q113+J113)</f>
        <v>7.7068373991646677E-3</v>
      </c>
      <c r="L113" s="37">
        <f>K113*4</f>
        <v>3.0827349596658671E-2</v>
      </c>
      <c r="M113" s="32">
        <v>1000000</v>
      </c>
      <c r="N113" s="33">
        <v>3.0800000000000001E-2</v>
      </c>
      <c r="O113" s="35" t="s">
        <v>4</v>
      </c>
      <c r="P113" s="33">
        <v>1.2999999999999999E-2</v>
      </c>
      <c r="Q113" s="32">
        <v>1000000</v>
      </c>
      <c r="R113" s="34">
        <v>42851</v>
      </c>
      <c r="S113" s="42">
        <f>(R113-B113)/365.2421875</f>
        <v>4.0000855596671725</v>
      </c>
      <c r="U113" s="7" t="s">
        <v>3</v>
      </c>
      <c r="V113" s="7">
        <v>4</v>
      </c>
      <c r="W113" s="43"/>
      <c r="X113" s="7" t="s">
        <v>2</v>
      </c>
      <c r="AB113" s="7" t="s">
        <v>24</v>
      </c>
      <c r="AH113" s="7" t="s">
        <v>23</v>
      </c>
      <c r="AI113" s="7" t="s">
        <v>22</v>
      </c>
    </row>
    <row r="114" spans="1:35">
      <c r="A114" s="7" t="s">
        <v>133</v>
      </c>
      <c r="B114" s="34">
        <v>41418</v>
      </c>
      <c r="C114" s="7" t="s">
        <v>131</v>
      </c>
      <c r="D114" s="52">
        <v>1500000000</v>
      </c>
      <c r="E114" s="40" t="s">
        <v>7</v>
      </c>
      <c r="F114" s="7" t="s">
        <v>6</v>
      </c>
      <c r="G114" s="7" t="s">
        <v>5</v>
      </c>
      <c r="H114" s="36">
        <v>375000000</v>
      </c>
      <c r="I114" s="36">
        <v>130000</v>
      </c>
      <c r="J114" s="36">
        <f>I114/(H114/M114)</f>
        <v>346.66666666666669</v>
      </c>
      <c r="K114" s="41">
        <f>RATE(S114*4,N114/4*(Q114+J114),-M114,Q114+J114)</f>
        <v>7.5937439989365177E-3</v>
      </c>
      <c r="L114" s="37">
        <f>K114*4</f>
        <v>3.0374975995746071E-2</v>
      </c>
      <c r="M114" s="32">
        <v>1000000</v>
      </c>
      <c r="N114" s="33">
        <v>3.0300000000000001E-2</v>
      </c>
      <c r="O114" s="35" t="s">
        <v>4</v>
      </c>
      <c r="P114" s="33">
        <v>1.2800000000000001E-2</v>
      </c>
      <c r="Q114" s="32">
        <v>1000000</v>
      </c>
      <c r="R114" s="34">
        <v>43244</v>
      </c>
      <c r="S114" s="42">
        <f>(R114-B114)/365.2421875</f>
        <v>4.9994224722465832</v>
      </c>
      <c r="U114" s="7" t="s">
        <v>3</v>
      </c>
      <c r="V114" s="7">
        <v>4</v>
      </c>
      <c r="W114" s="43"/>
      <c r="X114" s="7" t="s">
        <v>2</v>
      </c>
      <c r="AB114" s="7" t="s">
        <v>24</v>
      </c>
      <c r="AH114" s="7" t="s">
        <v>23</v>
      </c>
      <c r="AI114" s="7" t="s">
        <v>22</v>
      </c>
    </row>
    <row r="115" spans="1:35">
      <c r="A115" s="7" t="s">
        <v>132</v>
      </c>
      <c r="B115" s="34">
        <v>41418</v>
      </c>
      <c r="C115" s="7" t="s">
        <v>131</v>
      </c>
      <c r="D115" s="52">
        <v>1500000000</v>
      </c>
      <c r="E115" s="40" t="s">
        <v>7</v>
      </c>
      <c r="F115" s="7" t="s">
        <v>6</v>
      </c>
      <c r="G115" s="7" t="s">
        <v>17</v>
      </c>
      <c r="H115" s="36">
        <v>300000000</v>
      </c>
      <c r="I115" s="36">
        <v>130000</v>
      </c>
      <c r="J115" s="36">
        <f>I115/(H115/M115)</f>
        <v>433.33333333333331</v>
      </c>
      <c r="K115" s="41">
        <f>RATE(S115*4,N115/4*(Q115+J115),-M115,Q115+J115)</f>
        <v>8.5236501494844047E-3</v>
      </c>
      <c r="L115" s="37">
        <f>K115*4</f>
        <v>3.4094600597937619E-2</v>
      </c>
      <c r="M115" s="32">
        <v>1000000</v>
      </c>
      <c r="N115" s="33">
        <v>3.4000000000000002E-2</v>
      </c>
      <c r="Q115" s="32">
        <v>1000000</v>
      </c>
      <c r="R115" s="34">
        <v>43244</v>
      </c>
      <c r="S115" s="42">
        <f>(R115-B115)/365.2421875</f>
        <v>4.9994224722465832</v>
      </c>
      <c r="U115" s="7" t="s">
        <v>16</v>
      </c>
      <c r="V115" s="7">
        <v>1</v>
      </c>
      <c r="W115" s="43">
        <f>MDURATION(B115,R115,N115,L115,V115)</f>
        <v>4.5273773921620801</v>
      </c>
      <c r="X115" s="7" t="s">
        <v>2</v>
      </c>
      <c r="AB115" s="7" t="s">
        <v>24</v>
      </c>
      <c r="AH115" s="7" t="s">
        <v>23</v>
      </c>
      <c r="AI115" s="7" t="s">
        <v>22</v>
      </c>
    </row>
    <row r="116" spans="1:35">
      <c r="A116" s="7" t="s">
        <v>130</v>
      </c>
      <c r="B116" s="34">
        <v>41416</v>
      </c>
      <c r="C116" s="7" t="s">
        <v>47</v>
      </c>
      <c r="D116" s="52">
        <v>400000000</v>
      </c>
      <c r="E116" s="40" t="s">
        <v>19</v>
      </c>
      <c r="F116" s="7" t="s">
        <v>18</v>
      </c>
      <c r="G116" s="7" t="s">
        <v>33</v>
      </c>
      <c r="H116" s="36">
        <v>1250000000</v>
      </c>
      <c r="I116" s="36">
        <v>30000</v>
      </c>
      <c r="J116" s="36">
        <f>I116/(H116/M116)</f>
        <v>24</v>
      </c>
      <c r="K116" s="41">
        <f>RATE(S116*4,N116/4*(Q116+J116),-M116,Q116+J116)</f>
        <v>5.4760700648403245E-3</v>
      </c>
      <c r="L116" s="37">
        <f>K116*4</f>
        <v>2.1904280259361298E-2</v>
      </c>
      <c r="M116" s="32">
        <v>1000000</v>
      </c>
      <c r="N116" s="33">
        <v>2.1899999999999999E-2</v>
      </c>
      <c r="O116" s="35" t="s">
        <v>4</v>
      </c>
      <c r="P116" s="33">
        <v>4.4000000000000003E-3</v>
      </c>
      <c r="Q116" s="32">
        <v>1000000</v>
      </c>
      <c r="R116" s="34">
        <v>43607</v>
      </c>
      <c r="S116" s="42">
        <f>(R116-B116)/365.2421875</f>
        <v>5.998759384825993</v>
      </c>
      <c r="T116" s="34">
        <v>43973</v>
      </c>
      <c r="U116" s="7" t="s">
        <v>3</v>
      </c>
      <c r="V116" s="7">
        <v>4</v>
      </c>
      <c r="W116" s="43"/>
      <c r="X116" s="7" t="s">
        <v>2</v>
      </c>
      <c r="Y116" s="7" t="s">
        <v>46</v>
      </c>
      <c r="AH116" s="7" t="s">
        <v>46</v>
      </c>
    </row>
    <row r="117" spans="1:35">
      <c r="A117" s="7" t="s">
        <v>129</v>
      </c>
      <c r="B117" s="34">
        <v>41310</v>
      </c>
      <c r="C117" s="7" t="s">
        <v>128</v>
      </c>
      <c r="D117" s="52">
        <v>1200000000</v>
      </c>
      <c r="E117" s="40" t="s">
        <v>7</v>
      </c>
      <c r="F117" s="7" t="s">
        <v>53</v>
      </c>
      <c r="G117" s="7" t="s">
        <v>5</v>
      </c>
      <c r="H117" s="36">
        <v>550000000</v>
      </c>
      <c r="J117" s="36">
        <f>I117/(H117/M117)</f>
        <v>0</v>
      </c>
      <c r="K117" s="41">
        <f>RATE(S117*4,N117/4*(Q117+J117),-M117,Q117+J117)</f>
        <v>2.0100000000000003E-2</v>
      </c>
      <c r="L117" s="37">
        <f>K117*4</f>
        <v>8.0400000000000013E-2</v>
      </c>
      <c r="M117" s="32">
        <v>1000000</v>
      </c>
      <c r="N117" s="33">
        <v>8.0399999999999999E-2</v>
      </c>
      <c r="O117" s="35" t="s">
        <v>4</v>
      </c>
      <c r="P117" s="33">
        <v>6.25E-2</v>
      </c>
      <c r="Q117" s="32">
        <v>1000000</v>
      </c>
      <c r="R117" s="34">
        <v>43136</v>
      </c>
      <c r="S117" s="42">
        <f>(R117-B117)/365.2421875</f>
        <v>4.9994224722465832</v>
      </c>
      <c r="U117" s="7" t="s">
        <v>3</v>
      </c>
      <c r="V117" s="7">
        <v>4</v>
      </c>
      <c r="W117" s="43"/>
      <c r="X117" s="7" t="s">
        <v>28</v>
      </c>
    </row>
    <row r="118" spans="1:35">
      <c r="A118" s="7" t="s">
        <v>127</v>
      </c>
      <c r="B118" s="34">
        <v>41264</v>
      </c>
      <c r="C118" s="7" t="s">
        <v>126</v>
      </c>
      <c r="D118" s="52">
        <v>2000000000</v>
      </c>
      <c r="E118" s="40" t="s">
        <v>7</v>
      </c>
      <c r="F118" s="7" t="s">
        <v>29</v>
      </c>
      <c r="G118" s="7" t="s">
        <v>5</v>
      </c>
      <c r="H118" s="36">
        <v>400000000</v>
      </c>
      <c r="J118" s="36">
        <f>I118/(H118/M118)</f>
        <v>0</v>
      </c>
      <c r="K118" s="41">
        <f>RATE(S118*4,N118/4*(Q118+J118),-M118,Q118+J118)</f>
        <v>2.2250000000000252E-2</v>
      </c>
      <c r="L118" s="37">
        <f>K118*4</f>
        <v>8.9000000000001009E-2</v>
      </c>
      <c r="M118" s="32">
        <v>1000000</v>
      </c>
      <c r="N118" s="33">
        <f>1.9%+P118</f>
        <v>8.900000000000001E-2</v>
      </c>
      <c r="O118" s="35" t="s">
        <v>4</v>
      </c>
      <c r="P118" s="33">
        <v>7.0000000000000007E-2</v>
      </c>
      <c r="Q118" s="32">
        <v>1000000</v>
      </c>
      <c r="R118" s="34">
        <v>42359</v>
      </c>
      <c r="S118" s="42">
        <f>(R118-B118)/365.2421875</f>
        <v>2.9980107377382303</v>
      </c>
      <c r="U118" s="7" t="s">
        <v>3</v>
      </c>
      <c r="V118" s="7">
        <v>4</v>
      </c>
      <c r="W118" s="43"/>
      <c r="X118" s="7" t="s">
        <v>28</v>
      </c>
    </row>
    <row r="119" spans="1:35">
      <c r="A119" s="7" t="s">
        <v>125</v>
      </c>
      <c r="B119" s="34">
        <v>41374</v>
      </c>
      <c r="C119" s="7" t="s">
        <v>124</v>
      </c>
      <c r="D119" s="52">
        <v>410000000</v>
      </c>
      <c r="E119" s="40" t="s">
        <v>7</v>
      </c>
      <c r="F119" s="7" t="s">
        <v>123</v>
      </c>
      <c r="G119" s="7" t="s">
        <v>5</v>
      </c>
      <c r="H119" s="36">
        <v>300000000</v>
      </c>
      <c r="I119" s="36">
        <v>155000</v>
      </c>
      <c r="J119" s="36">
        <f>I119/(H119/M119)</f>
        <v>258.33333333333331</v>
      </c>
      <c r="K119" s="41">
        <f>RATE(S119*4,N119/4*(Q119+J119),-M119,Q119+J119)</f>
        <v>2.0963323061378328E-2</v>
      </c>
      <c r="L119" s="37">
        <f>K119*4</f>
        <v>8.3853292245513314E-2</v>
      </c>
      <c r="M119" s="32">
        <v>500000</v>
      </c>
      <c r="N119" s="33">
        <v>8.3699999999999997E-2</v>
      </c>
      <c r="O119" s="35" t="s">
        <v>4</v>
      </c>
      <c r="P119" s="33">
        <v>6.5000000000000002E-2</v>
      </c>
      <c r="Q119" s="32">
        <v>500000</v>
      </c>
      <c r="R119" s="34">
        <v>42835</v>
      </c>
      <c r="S119" s="42">
        <f>(R119-B119)/365.2421875</f>
        <v>4.0000855596671725</v>
      </c>
      <c r="U119" s="7" t="s">
        <v>3</v>
      </c>
      <c r="V119" s="7">
        <v>4</v>
      </c>
      <c r="W119" s="43"/>
      <c r="X119" s="7" t="s">
        <v>56</v>
      </c>
    </row>
    <row r="120" spans="1:35">
      <c r="A120" s="7" t="s">
        <v>122</v>
      </c>
      <c r="B120" s="34">
        <v>41423</v>
      </c>
      <c r="C120" s="7" t="s">
        <v>121</v>
      </c>
      <c r="D120" s="52">
        <v>3700000000</v>
      </c>
      <c r="E120" s="40" t="s">
        <v>7</v>
      </c>
      <c r="F120" s="7" t="s">
        <v>53</v>
      </c>
      <c r="G120" s="7" t="s">
        <v>5</v>
      </c>
      <c r="H120" s="36">
        <v>1000000000</v>
      </c>
      <c r="I120" s="36">
        <v>100000</v>
      </c>
      <c r="J120" s="36">
        <f>I120/(H120/M120)</f>
        <v>50</v>
      </c>
      <c r="K120" s="41">
        <f>RATE(S120*4,N120/4*(Q120+J120),-M120,Q120+J120)</f>
        <v>1.2930706458495233E-2</v>
      </c>
      <c r="L120" s="37">
        <f>K120*4</f>
        <v>5.1722825833980933E-2</v>
      </c>
      <c r="M120" s="32">
        <v>500000</v>
      </c>
      <c r="N120" s="33">
        <v>5.1700000000000003E-2</v>
      </c>
      <c r="O120" s="35" t="s">
        <v>4</v>
      </c>
      <c r="P120" s="33">
        <v>3.4000000000000002E-2</v>
      </c>
      <c r="Q120" s="32">
        <v>500000</v>
      </c>
      <c r="R120" s="34">
        <v>43249</v>
      </c>
      <c r="S120" s="42">
        <f>(R120-B120)/365.2421875</f>
        <v>4.9994224722465832</v>
      </c>
      <c r="U120" s="7" t="s">
        <v>3</v>
      </c>
      <c r="V120" s="7">
        <v>4</v>
      </c>
      <c r="W120" s="43"/>
      <c r="X120" s="7" t="s">
        <v>28</v>
      </c>
      <c r="AD120" s="7" t="s">
        <v>1</v>
      </c>
      <c r="AH120" s="7" t="s">
        <v>0</v>
      </c>
      <c r="AI120" s="7" t="s">
        <v>97</v>
      </c>
    </row>
    <row r="121" spans="1:35">
      <c r="A121" s="7" t="s">
        <v>120</v>
      </c>
      <c r="B121" s="34">
        <v>41337</v>
      </c>
      <c r="C121" s="7" t="s">
        <v>119</v>
      </c>
      <c r="D121" s="52">
        <f>59000000000/21.83</f>
        <v>2702702702.702703</v>
      </c>
      <c r="E121" s="40" t="s">
        <v>19</v>
      </c>
      <c r="F121" s="7" t="s">
        <v>18</v>
      </c>
      <c r="G121" s="7" t="s">
        <v>5</v>
      </c>
      <c r="H121" s="36">
        <v>500000000</v>
      </c>
      <c r="I121" s="36">
        <v>215000</v>
      </c>
      <c r="J121" s="36">
        <f>I121/(H121/M121)</f>
        <v>430</v>
      </c>
      <c r="K121" s="41">
        <f>RATE(S121*4,N121/4*(Q121+J121),-M121,Q121+J121)</f>
        <v>1.7189936018270048E-2</v>
      </c>
      <c r="L121" s="37">
        <f>K121*4</f>
        <v>6.8759744073080192E-2</v>
      </c>
      <c r="M121" s="32">
        <v>1000000</v>
      </c>
      <c r="N121" s="33">
        <v>6.8599999999999994E-2</v>
      </c>
      <c r="O121" s="35" t="s">
        <v>4</v>
      </c>
      <c r="P121" s="33">
        <v>0.05</v>
      </c>
      <c r="Q121" s="32">
        <v>1000000</v>
      </c>
      <c r="R121" s="34">
        <v>42433</v>
      </c>
      <c r="S121" s="42">
        <f>(R121-B121)/365.2421875</f>
        <v>3.0007486470877627</v>
      </c>
      <c r="U121" s="7" t="s">
        <v>3</v>
      </c>
      <c r="V121" s="7">
        <v>4</v>
      </c>
      <c r="W121" s="43"/>
      <c r="X121" s="7" t="s">
        <v>2</v>
      </c>
      <c r="AA121" s="7" t="s">
        <v>11</v>
      </c>
      <c r="AH121" s="7" t="s">
        <v>10</v>
      </c>
    </row>
    <row r="122" spans="1:35">
      <c r="A122" s="7" t="s">
        <v>118</v>
      </c>
      <c r="B122" s="34">
        <v>41435</v>
      </c>
      <c r="C122" s="7" t="s">
        <v>117</v>
      </c>
      <c r="D122" s="52">
        <v>290000000</v>
      </c>
      <c r="E122" s="40" t="s">
        <v>19</v>
      </c>
      <c r="F122" s="7" t="s">
        <v>18</v>
      </c>
      <c r="G122" s="7" t="s">
        <v>33</v>
      </c>
      <c r="H122" s="36">
        <v>1000000000</v>
      </c>
      <c r="I122" s="36">
        <v>40000</v>
      </c>
      <c r="J122" s="36">
        <f>I122/(H122/M122)</f>
        <v>40</v>
      </c>
      <c r="K122" s="41">
        <f>RATE(S122*4,N122/4*(Q122+J122),-M122,Q122+J122)</f>
        <v>5.4767826668738889E-3</v>
      </c>
      <c r="L122" s="37">
        <f>K122*4</f>
        <v>2.1907130667495556E-2</v>
      </c>
      <c r="M122" s="32">
        <v>1000000</v>
      </c>
      <c r="N122" s="33">
        <f>1.77%+0.42%</f>
        <v>2.1899999999999999E-2</v>
      </c>
      <c r="O122" s="35" t="s">
        <v>4</v>
      </c>
      <c r="P122" s="33">
        <v>4.1999999999999997E-3</v>
      </c>
      <c r="Q122" s="32">
        <v>1000000</v>
      </c>
      <c r="R122" s="34">
        <v>43627</v>
      </c>
      <c r="S122" s="42">
        <f>(R122-B122)/365.2421875</f>
        <v>6.0014972941755254</v>
      </c>
      <c r="T122" s="34">
        <v>43993</v>
      </c>
      <c r="U122" s="7" t="s">
        <v>3</v>
      </c>
      <c r="V122" s="7">
        <v>4</v>
      </c>
      <c r="W122" s="43"/>
      <c r="X122" s="7" t="s">
        <v>2</v>
      </c>
      <c r="Y122" s="7" t="s">
        <v>116</v>
      </c>
      <c r="AH122" s="7" t="s">
        <v>116</v>
      </c>
    </row>
    <row r="123" spans="1:35">
      <c r="A123" s="7" t="s">
        <v>115</v>
      </c>
      <c r="B123" s="34">
        <v>41402</v>
      </c>
      <c r="C123" s="7" t="s">
        <v>113</v>
      </c>
      <c r="D123" s="52">
        <v>9200000000</v>
      </c>
      <c r="E123" s="40" t="s">
        <v>7</v>
      </c>
      <c r="F123" s="7" t="s">
        <v>12</v>
      </c>
      <c r="G123" s="7" t="s">
        <v>17</v>
      </c>
      <c r="H123" s="36">
        <v>3000000000</v>
      </c>
      <c r="I123" s="36">
        <v>60000</v>
      </c>
      <c r="J123" s="36">
        <f>I123/(H123/M123)</f>
        <v>20</v>
      </c>
      <c r="K123" s="41">
        <f>RATE(S123*4,N123/4*(Q123+J123),-M123,Q123+J123)</f>
        <v>1.1125458627681108E-2</v>
      </c>
      <c r="L123" s="37">
        <f>K123*4</f>
        <v>4.4501834510724432E-2</v>
      </c>
      <c r="M123" s="32">
        <v>1000000</v>
      </c>
      <c r="N123" s="33">
        <v>4.4499999999999998E-2</v>
      </c>
      <c r="Q123" s="32">
        <v>1000000</v>
      </c>
      <c r="R123" s="34">
        <v>46881</v>
      </c>
      <c r="S123" s="42">
        <f>(R123-B123)/365.2421875</f>
        <v>15.001005326089281</v>
      </c>
      <c r="U123" s="7" t="s">
        <v>16</v>
      </c>
      <c r="V123" s="7">
        <v>1</v>
      </c>
      <c r="W123" s="43">
        <f>MDURATION(B123,R123,N123,L123,V123)</f>
        <v>10.776498149173056</v>
      </c>
      <c r="X123" s="7" t="s">
        <v>28</v>
      </c>
      <c r="Y123" s="7" t="s">
        <v>112</v>
      </c>
      <c r="AH123" s="7" t="s">
        <v>112</v>
      </c>
    </row>
    <row r="124" spans="1:35">
      <c r="A124" s="7" t="s">
        <v>114</v>
      </c>
      <c r="B124" s="34">
        <v>41402</v>
      </c>
      <c r="C124" s="7" t="s">
        <v>113</v>
      </c>
      <c r="D124" s="52">
        <v>9200000000</v>
      </c>
      <c r="E124" s="40" t="s">
        <v>7</v>
      </c>
      <c r="F124" s="7" t="s">
        <v>12</v>
      </c>
      <c r="G124" s="7" t="s">
        <v>17</v>
      </c>
      <c r="H124" s="36">
        <v>1500000000</v>
      </c>
      <c r="I124" s="36">
        <v>40000</v>
      </c>
      <c r="J124" s="36">
        <f>I124/(H124/M124)</f>
        <v>26.666666666666668</v>
      </c>
      <c r="K124" s="41">
        <f>RATE(S124*4,N124/4*(Q124+J124),-M124,Q124+J124)</f>
        <v>9.3760871492952983E-3</v>
      </c>
      <c r="L124" s="37">
        <f>K124*4</f>
        <v>3.7504348597181193E-2</v>
      </c>
      <c r="M124" s="32">
        <v>1000000</v>
      </c>
      <c r="N124" s="33">
        <v>3.7499999999999999E-2</v>
      </c>
      <c r="Q124" s="32">
        <v>1000000</v>
      </c>
      <c r="R124" s="34">
        <v>43959</v>
      </c>
      <c r="S124" s="42">
        <f>(R124-B124)/365.2421875</f>
        <v>7.0008342067549361</v>
      </c>
      <c r="U124" s="7" t="s">
        <v>16</v>
      </c>
      <c r="V124" s="7">
        <v>1</v>
      </c>
      <c r="W124" s="43">
        <f>MDURATION(B124,R124,N124,L124,V124)</f>
        <v>6.057864285496426</v>
      </c>
      <c r="X124" s="7" t="s">
        <v>28</v>
      </c>
      <c r="Y124" s="7" t="s">
        <v>112</v>
      </c>
      <c r="AH124" s="7" t="s">
        <v>112</v>
      </c>
    </row>
    <row r="125" spans="1:35">
      <c r="A125" s="7" t="s">
        <v>111</v>
      </c>
      <c r="B125" s="34">
        <v>41451</v>
      </c>
      <c r="C125" s="7" t="s">
        <v>110</v>
      </c>
      <c r="D125" s="52">
        <f>200000000*5.92</f>
        <v>1184000000</v>
      </c>
      <c r="E125" s="40" t="s">
        <v>7</v>
      </c>
      <c r="F125" s="7" t="s">
        <v>53</v>
      </c>
      <c r="G125" s="7" t="s">
        <v>5</v>
      </c>
      <c r="H125" s="36">
        <v>350000000</v>
      </c>
      <c r="I125" s="36">
        <v>150000</v>
      </c>
      <c r="J125" s="36">
        <f>I125/(H125/M125)</f>
        <v>428.57142857142856</v>
      </c>
      <c r="K125" s="41">
        <f>RATE(S125*4,N125/4*(Q125+J125),-M125,Q125+J125)</f>
        <v>1.9265283965673743E-2</v>
      </c>
      <c r="L125" s="37">
        <f>K125*4</f>
        <v>7.7061135862694974E-2</v>
      </c>
      <c r="M125" s="32">
        <v>1000000</v>
      </c>
      <c r="N125" s="33">
        <v>7.6899999999999996E-2</v>
      </c>
      <c r="O125" s="35" t="s">
        <v>4</v>
      </c>
      <c r="P125" s="33">
        <v>0.06</v>
      </c>
      <c r="Q125" s="32">
        <v>1000000</v>
      </c>
      <c r="R125" s="34">
        <v>42548</v>
      </c>
      <c r="S125" s="42">
        <f>(R125-B125)/365.2421875</f>
        <v>3.0034865564372955</v>
      </c>
      <c r="U125" s="7" t="s">
        <v>3</v>
      </c>
      <c r="V125" s="7">
        <v>4</v>
      </c>
      <c r="W125" s="43"/>
      <c r="X125" s="7" t="s">
        <v>56</v>
      </c>
      <c r="AD125" s="7" t="s">
        <v>66</v>
      </c>
      <c r="AH125" s="7" t="s">
        <v>65</v>
      </c>
    </row>
    <row r="126" spans="1:35">
      <c r="A126" s="7" t="s">
        <v>109</v>
      </c>
      <c r="B126" s="34">
        <v>41345</v>
      </c>
      <c r="C126" s="7" t="s">
        <v>108</v>
      </c>
      <c r="D126" s="52">
        <f>4500000000*5.92</f>
        <v>26640000000</v>
      </c>
      <c r="E126" s="40" t="s">
        <v>7</v>
      </c>
      <c r="F126" s="7" t="s">
        <v>53</v>
      </c>
      <c r="G126" s="7" t="s">
        <v>5</v>
      </c>
      <c r="H126" s="36">
        <v>1800000000</v>
      </c>
      <c r="I126" s="36">
        <v>90000</v>
      </c>
      <c r="J126" s="36">
        <f>I126/(H126/M126)</f>
        <v>50</v>
      </c>
      <c r="K126" s="41">
        <f>RATE(S126*4,N126/4*(Q126+J126),-M126,Q126+J126)</f>
        <v>1.382787889244407E-2</v>
      </c>
      <c r="L126" s="37">
        <f>K126*4</f>
        <v>5.531151556977628E-2</v>
      </c>
      <c r="M126" s="32">
        <v>1000000</v>
      </c>
      <c r="N126" s="33">
        <v>5.5300000000000002E-2</v>
      </c>
      <c r="O126" s="35" t="s">
        <v>4</v>
      </c>
      <c r="P126" s="33">
        <v>3.7499999999999999E-2</v>
      </c>
      <c r="Q126" s="32">
        <v>1000000</v>
      </c>
      <c r="R126" s="34">
        <v>43171</v>
      </c>
      <c r="S126" s="42">
        <f>(R126-B126)/365.2421875</f>
        <v>4.9994224722465832</v>
      </c>
      <c r="U126" s="7" t="s">
        <v>3</v>
      </c>
      <c r="V126" s="7">
        <v>4</v>
      </c>
      <c r="W126" s="43"/>
      <c r="X126" s="7" t="s">
        <v>28</v>
      </c>
      <c r="AD126" s="7" t="s">
        <v>11</v>
      </c>
      <c r="AH126" s="7" t="s">
        <v>10</v>
      </c>
    </row>
    <row r="127" spans="1:35">
      <c r="A127" s="7" t="s">
        <v>107</v>
      </c>
      <c r="B127" s="34">
        <v>41431</v>
      </c>
      <c r="C127" s="7" t="s">
        <v>13</v>
      </c>
      <c r="D127" s="52">
        <v>6000000000</v>
      </c>
      <c r="E127" s="40" t="s">
        <v>7</v>
      </c>
      <c r="F127" s="7" t="s">
        <v>12</v>
      </c>
      <c r="G127" s="7" t="s">
        <v>5</v>
      </c>
      <c r="H127" s="36">
        <v>1300000000</v>
      </c>
      <c r="I127" s="36">
        <v>130000</v>
      </c>
      <c r="J127" s="36">
        <f>I127/(H127/M127)</f>
        <v>100</v>
      </c>
      <c r="K127" s="41">
        <f>RATE(S127*4,N127/4*(Q127+J127),-M127,Q127+J127)</f>
        <v>1.3155719234594849E-2</v>
      </c>
      <c r="L127" s="37">
        <f>K127*4</f>
        <v>5.2622876938379394E-2</v>
      </c>
      <c r="M127" s="32">
        <v>1000000</v>
      </c>
      <c r="N127" s="33">
        <v>5.2600000000000001E-2</v>
      </c>
      <c r="O127" s="35" t="s">
        <v>4</v>
      </c>
      <c r="P127" s="33">
        <v>3.5000000000000003E-2</v>
      </c>
      <c r="Q127" s="32">
        <v>1000000</v>
      </c>
      <c r="R127" s="34">
        <v>43257</v>
      </c>
      <c r="S127" s="42">
        <f>(R127-B127)/365.2421875</f>
        <v>4.9994224722465832</v>
      </c>
      <c r="U127" s="7" t="s">
        <v>3</v>
      </c>
      <c r="V127" s="7">
        <v>4</v>
      </c>
      <c r="W127" s="43"/>
      <c r="X127" s="7" t="s">
        <v>2</v>
      </c>
      <c r="AB127" s="7" t="s">
        <v>11</v>
      </c>
      <c r="AH127" s="7" t="s">
        <v>10</v>
      </c>
    </row>
    <row r="128" spans="1:35">
      <c r="A128" s="7" t="s">
        <v>106</v>
      </c>
      <c r="B128" s="34">
        <v>41431</v>
      </c>
      <c r="C128" s="7" t="s">
        <v>13</v>
      </c>
      <c r="D128" s="52">
        <v>6000000000</v>
      </c>
      <c r="E128" s="40" t="s">
        <v>7</v>
      </c>
      <c r="F128" s="7" t="s">
        <v>12</v>
      </c>
      <c r="G128" s="7" t="s">
        <v>5</v>
      </c>
      <c r="H128" s="36">
        <v>700000000</v>
      </c>
      <c r="I128" s="36">
        <v>70000</v>
      </c>
      <c r="J128" s="36">
        <f>I128/(H128/M128)</f>
        <v>100</v>
      </c>
      <c r="K128" s="41">
        <f>RATE(S128*4,N128/4*(Q128+J128),-M128,Q128+J128)</f>
        <v>1.4404364388166391E-2</v>
      </c>
      <c r="L128" s="37">
        <f>K128*4</f>
        <v>5.7617457552665563E-2</v>
      </c>
      <c r="M128" s="32">
        <v>1000000</v>
      </c>
      <c r="N128" s="33">
        <v>5.7599999999999998E-2</v>
      </c>
      <c r="O128" s="35" t="s">
        <v>4</v>
      </c>
      <c r="P128" s="33">
        <v>0.04</v>
      </c>
      <c r="Q128" s="32">
        <v>1000000</v>
      </c>
      <c r="R128" s="34">
        <v>43988</v>
      </c>
      <c r="S128" s="42">
        <f>(R128-B128)/365.2421875</f>
        <v>7.0008342067549361</v>
      </c>
      <c r="U128" s="7" t="s">
        <v>3</v>
      </c>
      <c r="V128" s="7">
        <v>4</v>
      </c>
      <c r="W128" s="43"/>
      <c r="X128" s="7" t="s">
        <v>2</v>
      </c>
      <c r="AB128" s="7" t="s">
        <v>11</v>
      </c>
      <c r="AH128" s="7" t="s">
        <v>10</v>
      </c>
    </row>
    <row r="129" spans="1:35">
      <c r="A129" s="7" t="s">
        <v>105</v>
      </c>
      <c r="B129" s="34">
        <v>41450</v>
      </c>
      <c r="C129" s="7" t="s">
        <v>104</v>
      </c>
      <c r="D129" s="52">
        <v>1300000000</v>
      </c>
      <c r="E129" s="40" t="s">
        <v>7</v>
      </c>
      <c r="F129" s="7" t="s">
        <v>25</v>
      </c>
      <c r="G129" s="7" t="s">
        <v>5</v>
      </c>
      <c r="H129" s="36">
        <v>500000000</v>
      </c>
      <c r="I129" s="36">
        <v>25000</v>
      </c>
      <c r="J129" s="36">
        <f>I129/(H129/M129)</f>
        <v>50</v>
      </c>
      <c r="K129" s="41">
        <f>RATE(S129*4,N129/4*(Q129+J129),-M129,Q129+J129)</f>
        <v>6.7026798215850227E-3</v>
      </c>
      <c r="L129" s="37">
        <f>K129*4</f>
        <v>2.6810719286340091E-2</v>
      </c>
      <c r="M129" s="32">
        <v>1000000</v>
      </c>
      <c r="N129" s="33">
        <v>2.6800000000000001E-2</v>
      </c>
      <c r="O129" s="35" t="s">
        <v>4</v>
      </c>
      <c r="P129" s="33">
        <v>0.01</v>
      </c>
      <c r="Q129" s="32">
        <v>1000000</v>
      </c>
      <c r="R129" s="34">
        <v>43276</v>
      </c>
      <c r="S129" s="42">
        <f>(R129-B129)/365.2421875</f>
        <v>4.9994224722465832</v>
      </c>
      <c r="U129" s="7" t="s">
        <v>3</v>
      </c>
      <c r="V129" s="7">
        <v>4</v>
      </c>
      <c r="W129" s="43"/>
      <c r="X129" s="7" t="s">
        <v>2</v>
      </c>
    </row>
    <row r="130" spans="1:35">
      <c r="A130" s="7" t="s">
        <v>103</v>
      </c>
      <c r="B130" s="34">
        <v>41442</v>
      </c>
      <c r="C130" s="7" t="s">
        <v>39</v>
      </c>
      <c r="D130" s="52">
        <v>58600000000</v>
      </c>
      <c r="E130" s="40" t="s">
        <v>7</v>
      </c>
      <c r="F130" s="7" t="s">
        <v>38</v>
      </c>
      <c r="G130" s="7" t="s">
        <v>5</v>
      </c>
      <c r="H130" s="36">
        <v>1500000000</v>
      </c>
      <c r="I130" s="36">
        <v>120000</v>
      </c>
      <c r="J130" s="36">
        <f>I130/(H130/M130)</f>
        <v>8</v>
      </c>
      <c r="K130" s="41">
        <f>RATE(S130*4,N130/4*(Q130+J130),-M130,Q130+J130)</f>
        <v>7.0543073870513858E-3</v>
      </c>
      <c r="L130" s="37">
        <f>K130*4</f>
        <v>2.8217229548205543E-2</v>
      </c>
      <c r="M130" s="32">
        <v>100000</v>
      </c>
      <c r="N130" s="33">
        <v>2.8199999999999999E-2</v>
      </c>
      <c r="O130" s="35" t="s">
        <v>4</v>
      </c>
      <c r="P130" s="33">
        <v>1.0500000000000001E-2</v>
      </c>
      <c r="Q130" s="32">
        <v>100000</v>
      </c>
      <c r="R130" s="34">
        <v>43266</v>
      </c>
      <c r="S130" s="42">
        <f>(R130-B130)/365.2421875</f>
        <v>4.9939466535475177</v>
      </c>
      <c r="U130" s="7" t="s">
        <v>3</v>
      </c>
      <c r="V130" s="7">
        <v>4</v>
      </c>
      <c r="W130" s="43"/>
      <c r="X130" s="7" t="s">
        <v>2</v>
      </c>
      <c r="AE130" s="7" t="s">
        <v>37</v>
      </c>
      <c r="AH130" s="7" t="s">
        <v>36</v>
      </c>
    </row>
    <row r="131" spans="1:35">
      <c r="A131" s="7" t="s">
        <v>102</v>
      </c>
      <c r="B131" s="34">
        <v>41429</v>
      </c>
      <c r="C131" s="7" t="s">
        <v>101</v>
      </c>
      <c r="D131" s="52">
        <v>19800000000</v>
      </c>
      <c r="E131" s="40" t="s">
        <v>7</v>
      </c>
      <c r="F131" s="7" t="s">
        <v>12</v>
      </c>
      <c r="G131" s="7" t="s">
        <v>5</v>
      </c>
      <c r="H131" s="36">
        <v>1000000000</v>
      </c>
      <c r="I131" s="36">
        <v>155000</v>
      </c>
      <c r="J131" s="36">
        <f>I131/(H131/M131)</f>
        <v>155</v>
      </c>
      <c r="K131" s="41">
        <f>RATE(S131*4,N131/4*(Q131+J131),-M131,Q131+J131)</f>
        <v>8.7584819750830718E-3</v>
      </c>
      <c r="L131" s="37">
        <f>K131*4</f>
        <v>3.5033927900332287E-2</v>
      </c>
      <c r="M131" s="32">
        <v>1000000</v>
      </c>
      <c r="N131" s="33">
        <v>3.5000000000000003E-2</v>
      </c>
      <c r="O131" s="35" t="s">
        <v>4</v>
      </c>
      <c r="P131" s="33">
        <v>1.7500000000000002E-2</v>
      </c>
      <c r="Q131" s="32">
        <v>1000000</v>
      </c>
      <c r="R131" s="34">
        <v>43255</v>
      </c>
      <c r="S131" s="42">
        <f>(R131-B131)/365.2421875</f>
        <v>4.9994224722465832</v>
      </c>
      <c r="U131" s="7" t="s">
        <v>3</v>
      </c>
      <c r="V131" s="7">
        <v>4</v>
      </c>
      <c r="W131" s="43"/>
      <c r="X131" s="7" t="s">
        <v>28</v>
      </c>
      <c r="AB131" s="7" t="s">
        <v>42</v>
      </c>
      <c r="AH131" s="7" t="s">
        <v>41</v>
      </c>
    </row>
    <row r="132" spans="1:35">
      <c r="A132" s="7" t="s">
        <v>100</v>
      </c>
      <c r="B132" s="34">
        <v>41432</v>
      </c>
      <c r="C132" s="7" t="s">
        <v>99</v>
      </c>
      <c r="D132" s="52">
        <f>520000000*5.92</f>
        <v>3078400000</v>
      </c>
      <c r="E132" s="40" t="s">
        <v>7</v>
      </c>
      <c r="F132" s="7" t="s">
        <v>53</v>
      </c>
      <c r="G132" s="7" t="s">
        <v>17</v>
      </c>
      <c r="H132" s="47">
        <v>95000000</v>
      </c>
      <c r="I132" s="36">
        <v>30000</v>
      </c>
      <c r="J132" s="36">
        <f>I132/(H132/M132)</f>
        <v>63.157894736842103</v>
      </c>
      <c r="K132" s="41">
        <f>RATE(S132*4,N132/4*(Q132+J132),-M132,Q132+J132)</f>
        <v>2.0019311966967275E-2</v>
      </c>
      <c r="L132" s="37">
        <f>K132*4</f>
        <v>8.00772478678691E-2</v>
      </c>
      <c r="M132" s="48">
        <v>200000</v>
      </c>
      <c r="N132" s="33">
        <v>0.08</v>
      </c>
      <c r="Q132" s="48">
        <v>200000</v>
      </c>
      <c r="R132" s="34">
        <v>43258</v>
      </c>
      <c r="S132" s="42">
        <f>(R132-B132)/365.2421875</f>
        <v>4.9994224722465832</v>
      </c>
      <c r="U132" s="7" t="s">
        <v>16</v>
      </c>
      <c r="V132" s="7">
        <v>1</v>
      </c>
      <c r="W132" s="43">
        <f>MDURATION(B132,R132,N132,L132,V132)</f>
        <v>3.992315725004012</v>
      </c>
      <c r="X132" s="7" t="s">
        <v>98</v>
      </c>
      <c r="AB132" s="7" t="s">
        <v>66</v>
      </c>
      <c r="AH132" s="7" t="s">
        <v>65</v>
      </c>
      <c r="AI132" s="7" t="s">
        <v>97</v>
      </c>
    </row>
    <row r="133" spans="1:35">
      <c r="A133" s="7" t="s">
        <v>96</v>
      </c>
      <c r="B133" s="34">
        <v>41508</v>
      </c>
      <c r="C133" s="7" t="s">
        <v>95</v>
      </c>
      <c r="D133" s="52">
        <v>12000000000</v>
      </c>
      <c r="E133" s="40" t="s">
        <v>19</v>
      </c>
      <c r="F133" s="7" t="s">
        <v>18</v>
      </c>
      <c r="G133" s="7" t="s">
        <v>17</v>
      </c>
      <c r="H133" s="36">
        <v>5000000000</v>
      </c>
      <c r="I133" s="36">
        <v>70000</v>
      </c>
      <c r="J133" s="36">
        <f>I133/(H133/M133)</f>
        <v>14</v>
      </c>
      <c r="K133" s="41">
        <f>RATE(S133*4,N133/4*(Q133+J133),-M133,Q133+J133)</f>
        <v>1.0125427428644744E-2</v>
      </c>
      <c r="L133" s="37">
        <f>K133*4</f>
        <v>4.0501709714578976E-2</v>
      </c>
      <c r="M133" s="32">
        <v>1000000</v>
      </c>
      <c r="N133" s="33">
        <v>4.0500000000000001E-2</v>
      </c>
      <c r="Q133" s="32">
        <v>1000000</v>
      </c>
      <c r="R133" s="34">
        <v>45160</v>
      </c>
      <c r="S133" s="42">
        <f>(R133-B133)/365.2421875</f>
        <v>9.9988449444931664</v>
      </c>
      <c r="U133" s="7" t="s">
        <v>16</v>
      </c>
      <c r="V133" s="7">
        <v>1</v>
      </c>
      <c r="W133" s="43">
        <f>MDURATION(B133,R133,N133,L133,V133)</f>
        <v>8.0907191580546751</v>
      </c>
      <c r="X133" s="7" t="s">
        <v>2</v>
      </c>
      <c r="Y133" s="7" t="s">
        <v>70</v>
      </c>
      <c r="AH133" s="7" t="s">
        <v>70</v>
      </c>
    </row>
    <row r="134" spans="1:35">
      <c r="A134" s="7" t="s">
        <v>94</v>
      </c>
      <c r="B134" s="34">
        <v>41299</v>
      </c>
      <c r="C134" s="7" t="s">
        <v>92</v>
      </c>
      <c r="D134" s="52">
        <f>390000000*5.92</f>
        <v>2308800000</v>
      </c>
      <c r="E134" s="40" t="s">
        <v>7</v>
      </c>
      <c r="F134" s="7" t="s">
        <v>53</v>
      </c>
      <c r="G134" s="7" t="s">
        <v>5</v>
      </c>
      <c r="H134" s="36">
        <v>500000000</v>
      </c>
      <c r="I134" s="36">
        <v>75000</v>
      </c>
      <c r="J134" s="36">
        <f>I134/(H134/M134)</f>
        <v>150</v>
      </c>
      <c r="K134" s="41">
        <f>RATE(S134*4,N134/4*(Q134+J134),-M134,Q134+J134)</f>
        <v>1.4313699554007523E-2</v>
      </c>
      <c r="L134" s="37">
        <f>K134*4</f>
        <v>5.7254798216030092E-2</v>
      </c>
      <c r="M134" s="32">
        <v>1000000</v>
      </c>
      <c r="N134" s="33">
        <v>5.7200000000000001E-2</v>
      </c>
      <c r="O134" s="35" t="s">
        <v>4</v>
      </c>
      <c r="P134" s="33">
        <v>0.04</v>
      </c>
      <c r="Q134" s="32">
        <v>1000000</v>
      </c>
      <c r="R134" s="34">
        <v>42394</v>
      </c>
      <c r="S134" s="42">
        <f>(R134-B134)/365.2421875</f>
        <v>2.9980107377382303</v>
      </c>
      <c r="U134" s="7" t="s">
        <v>3</v>
      </c>
      <c r="V134" s="7">
        <v>4</v>
      </c>
      <c r="W134" s="43"/>
      <c r="X134" s="7" t="s">
        <v>28</v>
      </c>
      <c r="Y134" s="7" t="s">
        <v>51</v>
      </c>
      <c r="AH134" s="7" t="s">
        <v>51</v>
      </c>
      <c r="AI134" s="7" t="s">
        <v>91</v>
      </c>
    </row>
    <row r="135" spans="1:35">
      <c r="A135" s="7" t="s">
        <v>93</v>
      </c>
      <c r="B135" s="34">
        <v>41299</v>
      </c>
      <c r="C135" s="7" t="s">
        <v>92</v>
      </c>
      <c r="D135" s="52">
        <f>390000000*5.92</f>
        <v>2308800000</v>
      </c>
      <c r="E135" s="40" t="s">
        <v>7</v>
      </c>
      <c r="F135" s="7" t="s">
        <v>53</v>
      </c>
      <c r="G135" s="7" t="s">
        <v>5</v>
      </c>
      <c r="H135" s="36">
        <v>800000000</v>
      </c>
      <c r="I135" s="36">
        <v>75000</v>
      </c>
      <c r="J135" s="36">
        <f>I135/(H135/M135)</f>
        <v>93.75</v>
      </c>
      <c r="K135" s="41">
        <f>RATE(S135*4,N135/4*(Q135+J135),-M135,Q135+J135)</f>
        <v>1.6180524317784873E-2</v>
      </c>
      <c r="L135" s="37">
        <f>K135*4</f>
        <v>6.4722097271139492E-2</v>
      </c>
      <c r="M135" s="32">
        <v>1000000</v>
      </c>
      <c r="N135" s="33">
        <v>6.4699999999999994E-2</v>
      </c>
      <c r="O135" s="35" t="s">
        <v>4</v>
      </c>
      <c r="P135" s="33">
        <v>4.7500000000000001E-2</v>
      </c>
      <c r="Q135" s="32">
        <v>1000000</v>
      </c>
      <c r="R135" s="34">
        <v>43125</v>
      </c>
      <c r="S135" s="42">
        <f>(R135-B135)/365.2421875</f>
        <v>4.9994224722465832</v>
      </c>
      <c r="U135" s="7" t="s">
        <v>3</v>
      </c>
      <c r="V135" s="7">
        <v>4</v>
      </c>
      <c r="W135" s="43"/>
      <c r="X135" s="7" t="s">
        <v>28</v>
      </c>
      <c r="Y135" s="7" t="s">
        <v>51</v>
      </c>
      <c r="AH135" s="7" t="s">
        <v>51</v>
      </c>
      <c r="AI135" s="7" t="s">
        <v>91</v>
      </c>
    </row>
    <row r="136" spans="1:35">
      <c r="A136" s="7" t="s">
        <v>90</v>
      </c>
      <c r="B136" s="34">
        <v>41457</v>
      </c>
      <c r="C136" s="7" t="s">
        <v>89</v>
      </c>
      <c r="D136" s="52">
        <v>1000000000</v>
      </c>
      <c r="E136" s="40" t="s">
        <v>7</v>
      </c>
      <c r="F136" s="7" t="s">
        <v>12</v>
      </c>
      <c r="G136" s="7" t="s">
        <v>5</v>
      </c>
      <c r="H136" s="36">
        <v>300000000</v>
      </c>
      <c r="I136" s="36">
        <v>150000</v>
      </c>
      <c r="J136" s="36">
        <f>I136/(H136/M136)</f>
        <v>500</v>
      </c>
      <c r="K136" s="41">
        <f>RATE(S136*4,N136/4*(Q136+J136),-M136,Q136+J136)</f>
        <v>1.6679595416971751E-2</v>
      </c>
      <c r="L136" s="37">
        <f>K136*4</f>
        <v>6.6718381667887003E-2</v>
      </c>
      <c r="M136" s="32">
        <v>1000000</v>
      </c>
      <c r="N136" s="33">
        <v>6.6600000000000006E-2</v>
      </c>
      <c r="O136" s="35" t="s">
        <v>4</v>
      </c>
      <c r="P136" s="33">
        <v>0.05</v>
      </c>
      <c r="Q136" s="32">
        <v>1000000</v>
      </c>
      <c r="R136" s="34">
        <v>43283</v>
      </c>
      <c r="S136" s="42">
        <f>(R136-B136)/365.2421875</f>
        <v>4.9994224722465832</v>
      </c>
      <c r="U136" s="7" t="s">
        <v>3</v>
      </c>
      <c r="V136" s="7">
        <v>4</v>
      </c>
      <c r="W136" s="43"/>
      <c r="X136" s="7" t="s">
        <v>56</v>
      </c>
      <c r="AF136" s="7" t="s">
        <v>88</v>
      </c>
      <c r="AH136" s="7" t="s">
        <v>80</v>
      </c>
      <c r="AI136" s="7" t="s">
        <v>22</v>
      </c>
    </row>
    <row r="137" spans="1:35">
      <c r="A137" s="7" t="s">
        <v>87</v>
      </c>
      <c r="B137" s="34">
        <v>41417</v>
      </c>
      <c r="C137" s="7" t="s">
        <v>86</v>
      </c>
      <c r="D137" s="52">
        <v>1600000000</v>
      </c>
      <c r="E137" s="40" t="s">
        <v>19</v>
      </c>
      <c r="F137" s="7" t="s">
        <v>18</v>
      </c>
      <c r="G137" s="7" t="s">
        <v>57</v>
      </c>
      <c r="K137" s="41"/>
      <c r="M137" s="32">
        <v>100000</v>
      </c>
      <c r="N137" s="33">
        <v>5.9400000000000001E-2</v>
      </c>
      <c r="O137" s="35" t="s">
        <v>4</v>
      </c>
      <c r="P137" s="33">
        <v>4.2000000000000003E-2</v>
      </c>
      <c r="Q137" s="32">
        <v>100000</v>
      </c>
      <c r="S137" s="42"/>
      <c r="U137" s="7" t="s">
        <v>3</v>
      </c>
      <c r="V137" s="7">
        <v>4</v>
      </c>
      <c r="W137" s="43"/>
      <c r="X137" s="7" t="s">
        <v>56</v>
      </c>
      <c r="Y137" s="7" t="s">
        <v>32</v>
      </c>
      <c r="AH137" s="7" t="s">
        <v>32</v>
      </c>
      <c r="AI137" s="7" t="s">
        <v>22</v>
      </c>
    </row>
    <row r="138" spans="1:35">
      <c r="A138" s="7" t="s">
        <v>85</v>
      </c>
      <c r="B138" s="34">
        <v>41444</v>
      </c>
      <c r="C138" s="7" t="s">
        <v>84</v>
      </c>
      <c r="D138" s="52">
        <v>21000000000</v>
      </c>
      <c r="E138" s="40" t="s">
        <v>7</v>
      </c>
      <c r="F138" s="7" t="s">
        <v>83</v>
      </c>
      <c r="G138" s="7" t="s">
        <v>5</v>
      </c>
      <c r="H138" s="36">
        <v>1000000000</v>
      </c>
      <c r="I138" s="36">
        <v>155000</v>
      </c>
      <c r="J138" s="36">
        <f>I138/(H138/M138)</f>
        <v>155</v>
      </c>
      <c r="K138" s="41">
        <f>RATE(S138*4,N138/4*(Q138+J138),-M138,Q138+J138)</f>
        <v>9.6085551297550517E-3</v>
      </c>
      <c r="L138" s="37">
        <f>K138*4</f>
        <v>3.8434220519020207E-2</v>
      </c>
      <c r="M138" s="32">
        <v>1000000</v>
      </c>
      <c r="N138" s="33">
        <v>3.8399999999999997E-2</v>
      </c>
      <c r="O138" s="35" t="s">
        <v>4</v>
      </c>
      <c r="P138" s="33">
        <v>2.1000000000000001E-2</v>
      </c>
      <c r="Q138" s="32">
        <v>1000000</v>
      </c>
      <c r="R138" s="34">
        <v>43270</v>
      </c>
      <c r="S138" s="42">
        <f>(R138-B138)/365.2421875</f>
        <v>4.9994224722465832</v>
      </c>
      <c r="U138" s="7" t="s">
        <v>3</v>
      </c>
      <c r="V138" s="7">
        <v>4</v>
      </c>
      <c r="W138" s="43"/>
      <c r="X138" s="7" t="s">
        <v>2</v>
      </c>
      <c r="AB138" s="7" t="s">
        <v>42</v>
      </c>
      <c r="AH138" s="7" t="s">
        <v>41</v>
      </c>
      <c r="AI138" s="7" t="s">
        <v>22</v>
      </c>
    </row>
    <row r="139" spans="1:35">
      <c r="A139" s="7" t="s">
        <v>82</v>
      </c>
      <c r="B139" s="34">
        <v>41452</v>
      </c>
      <c r="C139" s="7" t="s">
        <v>81</v>
      </c>
      <c r="D139" s="52">
        <v>2800000000</v>
      </c>
      <c r="E139" s="40" t="s">
        <v>7</v>
      </c>
      <c r="F139" s="7" t="s">
        <v>6</v>
      </c>
      <c r="G139" s="7" t="s">
        <v>5</v>
      </c>
      <c r="H139" s="36">
        <v>700000000</v>
      </c>
      <c r="I139" s="36">
        <v>80000</v>
      </c>
      <c r="J139" s="36">
        <f>I139/(H139/M139)</f>
        <v>114.28571428571429</v>
      </c>
      <c r="K139" s="41">
        <f>RATE(S139*4,N139/4*(Q139+J139),-M139,Q139+J139)</f>
        <v>1.600672279475612E-2</v>
      </c>
      <c r="L139" s="37">
        <f>K139*4</f>
        <v>6.4026891179024478E-2</v>
      </c>
      <c r="M139" s="32">
        <v>1000000</v>
      </c>
      <c r="N139" s="33">
        <v>6.4000000000000001E-2</v>
      </c>
      <c r="O139" s="35" t="s">
        <v>4</v>
      </c>
      <c r="P139" s="33">
        <v>4.7500000000000001E-2</v>
      </c>
      <c r="Q139" s="32">
        <v>1000000</v>
      </c>
      <c r="R139" s="34">
        <v>43278</v>
      </c>
      <c r="S139" s="42">
        <f>(R139-B139)/365.2421875</f>
        <v>4.9994224722465832</v>
      </c>
      <c r="U139" s="7" t="s">
        <v>3</v>
      </c>
      <c r="V139" s="7">
        <v>4</v>
      </c>
      <c r="W139" s="43"/>
      <c r="X139" s="7" t="s">
        <v>56</v>
      </c>
      <c r="Y139" s="7" t="s">
        <v>80</v>
      </c>
      <c r="AH139" s="7" t="s">
        <v>80</v>
      </c>
    </row>
    <row r="140" spans="1:35">
      <c r="A140" s="7" t="s">
        <v>79</v>
      </c>
      <c r="B140" s="34">
        <v>41445</v>
      </c>
      <c r="C140" s="7" t="s">
        <v>58</v>
      </c>
      <c r="D140" s="52">
        <v>4000000000</v>
      </c>
      <c r="E140" s="40" t="s">
        <v>19</v>
      </c>
      <c r="F140" s="7" t="s">
        <v>18</v>
      </c>
      <c r="G140" s="7" t="s">
        <v>57</v>
      </c>
      <c r="H140" s="36">
        <v>500000000</v>
      </c>
      <c r="I140" s="36">
        <v>80000</v>
      </c>
      <c r="J140" s="36">
        <f>I140/(H140/M140)</f>
        <v>160</v>
      </c>
      <c r="K140" s="41"/>
      <c r="M140" s="32">
        <v>1000000</v>
      </c>
      <c r="N140" s="33">
        <f>1.77%+P140</f>
        <v>5.5199999999999999E-2</v>
      </c>
      <c r="O140" s="35" t="s">
        <v>4</v>
      </c>
      <c r="P140" s="33">
        <v>3.7499999999999999E-2</v>
      </c>
      <c r="Q140" s="32">
        <v>1000000</v>
      </c>
      <c r="S140" s="42"/>
      <c r="U140" s="7" t="s">
        <v>3</v>
      </c>
      <c r="V140" s="7">
        <v>4</v>
      </c>
      <c r="W140" s="43"/>
      <c r="X140" s="7" t="s">
        <v>56</v>
      </c>
      <c r="Y140" s="7" t="s">
        <v>15</v>
      </c>
      <c r="AH140" s="7" t="s">
        <v>15</v>
      </c>
    </row>
    <row r="141" spans="1:35">
      <c r="A141" s="7" t="s">
        <v>78</v>
      </c>
      <c r="B141" s="34">
        <v>41443</v>
      </c>
      <c r="C141" s="7" t="s">
        <v>77</v>
      </c>
      <c r="D141" s="52">
        <f>900000000*7.68</f>
        <v>6912000000</v>
      </c>
      <c r="E141" s="40" t="s">
        <v>7</v>
      </c>
      <c r="F141" s="7" t="s">
        <v>12</v>
      </c>
      <c r="G141" s="7" t="s">
        <v>5</v>
      </c>
      <c r="H141" s="36">
        <v>900000000</v>
      </c>
      <c r="I141" s="36">
        <v>170000</v>
      </c>
      <c r="J141" s="36">
        <f>I141/(H141/M141)</f>
        <v>188.88888888888889</v>
      </c>
      <c r="K141" s="41">
        <f>RATE(S141*4,N141/4*(Q141+J141),-M141,Q141+J141)</f>
        <v>1.6985627017382769E-2</v>
      </c>
      <c r="L141" s="37">
        <f>K141*4</f>
        <v>6.7942508069531074E-2</v>
      </c>
      <c r="M141" s="32">
        <v>1000000</v>
      </c>
      <c r="N141" s="33">
        <v>6.7900000000000002E-2</v>
      </c>
      <c r="O141" s="35" t="s">
        <v>4</v>
      </c>
      <c r="P141" s="33">
        <v>0.05</v>
      </c>
      <c r="Q141" s="32">
        <v>1000000</v>
      </c>
      <c r="R141" s="34">
        <v>43391</v>
      </c>
      <c r="S141" s="42">
        <f>(R141-B141)/365.2421875</f>
        <v>5.3334474128895639</v>
      </c>
      <c r="U141" s="7" t="s">
        <v>3</v>
      </c>
      <c r="V141" s="7">
        <v>4</v>
      </c>
      <c r="W141" s="43"/>
      <c r="X141" s="7" t="s">
        <v>2</v>
      </c>
      <c r="AB141" s="7" t="s">
        <v>1</v>
      </c>
      <c r="AH141" s="7" t="s">
        <v>0</v>
      </c>
    </row>
    <row r="142" spans="1:35">
      <c r="A142" s="7" t="s">
        <v>76</v>
      </c>
      <c r="B142" s="34">
        <v>41215</v>
      </c>
      <c r="C142" s="7" t="s">
        <v>75</v>
      </c>
      <c r="D142" s="52">
        <v>340000000</v>
      </c>
      <c r="E142" s="40" t="s">
        <v>7</v>
      </c>
      <c r="F142" s="7" t="s">
        <v>25</v>
      </c>
      <c r="G142" s="7" t="s">
        <v>5</v>
      </c>
      <c r="H142" s="36">
        <v>650000000</v>
      </c>
      <c r="J142" s="36">
        <f>I142/(H142/M142)</f>
        <v>0</v>
      </c>
      <c r="K142" s="41">
        <f>RATE(S142*4,N142/4*(Q142+J142),-M142,Q142+J142)</f>
        <v>1.6750000000000004E-2</v>
      </c>
      <c r="L142" s="37">
        <f>K142*4</f>
        <v>6.7000000000000018E-2</v>
      </c>
      <c r="M142" s="32">
        <v>1000000</v>
      </c>
      <c r="N142" s="33">
        <f>1.7%+P142</f>
        <v>6.7000000000000004E-2</v>
      </c>
      <c r="O142" s="35" t="s">
        <v>4</v>
      </c>
      <c r="P142" s="33">
        <v>0.05</v>
      </c>
      <c r="Q142" s="32">
        <v>1000000</v>
      </c>
      <c r="R142" s="34">
        <v>43041</v>
      </c>
      <c r="S142" s="42">
        <f>(R142-B142)/365.2421875</f>
        <v>4.9994224722465832</v>
      </c>
      <c r="U142" s="7" t="s">
        <v>3</v>
      </c>
      <c r="V142" s="7">
        <v>4</v>
      </c>
      <c r="W142" s="43"/>
      <c r="X142" s="7" t="s">
        <v>28</v>
      </c>
      <c r="AG142" s="7" t="s">
        <v>1</v>
      </c>
      <c r="AH142" s="7" t="s">
        <v>0</v>
      </c>
      <c r="AI142" s="7" t="s">
        <v>22</v>
      </c>
    </row>
    <row r="143" spans="1:35">
      <c r="A143" s="7" t="s">
        <v>74</v>
      </c>
      <c r="B143" s="34">
        <v>41437</v>
      </c>
      <c r="C143" s="7" t="s">
        <v>73</v>
      </c>
      <c r="D143" s="52">
        <v>15400000000</v>
      </c>
      <c r="E143" s="40" t="s">
        <v>7</v>
      </c>
      <c r="F143" s="7" t="s">
        <v>29</v>
      </c>
      <c r="G143" s="7" t="s">
        <v>5</v>
      </c>
      <c r="H143" s="49">
        <v>1500000000</v>
      </c>
      <c r="I143" s="36">
        <v>170000</v>
      </c>
      <c r="J143" s="36">
        <f>I143/(H143/M143)</f>
        <v>113.33333333333333</v>
      </c>
      <c r="K143" s="41">
        <f>RATE(S143*4,N143/4*(Q143+J143),-M143,Q143+J143)</f>
        <v>1.318178438564766E-2</v>
      </c>
      <c r="L143" s="37">
        <f>K143*4</f>
        <v>5.2727137542590639E-2</v>
      </c>
      <c r="M143" s="32">
        <v>1000000</v>
      </c>
      <c r="N143" s="33">
        <f>1.77%+P143</f>
        <v>5.2700000000000004E-2</v>
      </c>
      <c r="O143" s="35" t="s">
        <v>4</v>
      </c>
      <c r="P143" s="33">
        <v>3.5000000000000003E-2</v>
      </c>
      <c r="Q143" s="32">
        <v>1000000</v>
      </c>
      <c r="R143" s="34">
        <v>43171</v>
      </c>
      <c r="S143" s="42">
        <f>(R143-B143)/365.2421875</f>
        <v>4.7475348120895813</v>
      </c>
      <c r="U143" s="7" t="s">
        <v>3</v>
      </c>
      <c r="V143" s="7">
        <v>4</v>
      </c>
      <c r="W143" s="43"/>
      <c r="X143" s="7" t="s">
        <v>56</v>
      </c>
      <c r="AG143" s="7" t="s">
        <v>1</v>
      </c>
      <c r="AH143" s="7" t="s">
        <v>0</v>
      </c>
    </row>
    <row r="144" spans="1:35">
      <c r="A144" s="7" t="s">
        <v>72</v>
      </c>
      <c r="B144" s="34">
        <v>41557</v>
      </c>
      <c r="C144" s="7" t="s">
        <v>34</v>
      </c>
      <c r="D144" s="52">
        <v>330000000</v>
      </c>
      <c r="E144" s="40" t="s">
        <v>19</v>
      </c>
      <c r="F144" s="7" t="s">
        <v>18</v>
      </c>
      <c r="G144" s="7" t="s">
        <v>33</v>
      </c>
      <c r="H144" s="50">
        <v>1000000000</v>
      </c>
      <c r="I144" s="36">
        <v>30000</v>
      </c>
      <c r="J144" s="36">
        <f>I144/(H144/M144)</f>
        <v>30</v>
      </c>
      <c r="K144" s="41">
        <f>RATE(S144*4,N144/4*(Q144+J144),-M144,Q144+J144)</f>
        <v>4.6190739382761942E-3</v>
      </c>
      <c r="L144" s="37">
        <f>K144*4</f>
        <v>1.8476295753104777E-2</v>
      </c>
      <c r="M144" s="50">
        <v>1000000</v>
      </c>
      <c r="N144" s="33">
        <v>1.847E-2</v>
      </c>
      <c r="O144" s="35" t="s">
        <v>4</v>
      </c>
      <c r="P144" s="33">
        <v>6.4000000000000003E-3</v>
      </c>
      <c r="Q144" s="32">
        <v>1000000</v>
      </c>
      <c r="R144" s="34">
        <v>43383</v>
      </c>
      <c r="S144" s="42">
        <f>(R144-B144)/365.2421875</f>
        <v>4.9994224722465832</v>
      </c>
      <c r="T144" s="34">
        <v>43748</v>
      </c>
      <c r="U144" s="7" t="s">
        <v>3</v>
      </c>
      <c r="V144" s="7">
        <v>4</v>
      </c>
      <c r="W144" s="43"/>
      <c r="X144" s="7" t="s">
        <v>2</v>
      </c>
      <c r="Y144" s="7" t="s">
        <v>32</v>
      </c>
      <c r="AH144" s="7" t="s">
        <v>32</v>
      </c>
    </row>
    <row r="145" spans="1:35">
      <c r="A145" s="7" t="s">
        <v>71</v>
      </c>
      <c r="B145" s="34">
        <v>41516</v>
      </c>
      <c r="C145" s="7" t="s">
        <v>34</v>
      </c>
      <c r="D145" s="52">
        <v>330000000</v>
      </c>
      <c r="E145" s="40" t="s">
        <v>19</v>
      </c>
      <c r="F145" s="7" t="s">
        <v>18</v>
      </c>
      <c r="G145" s="7" t="s">
        <v>33</v>
      </c>
      <c r="H145" s="50">
        <v>500000000</v>
      </c>
      <c r="I145" s="36">
        <v>40000</v>
      </c>
      <c r="J145" s="36">
        <f>I145/(H145/M145)</f>
        <v>80</v>
      </c>
      <c r="K145" s="41">
        <f>RATE(S145*4,N145/4*(Q145+J145),-M145,Q145+J145)</f>
        <v>4.0568415543179833E-3</v>
      </c>
      <c r="L145" s="37">
        <f>K145*4</f>
        <v>1.6227366217271933E-2</v>
      </c>
      <c r="M145" s="50">
        <v>1000000</v>
      </c>
      <c r="N145" s="33">
        <v>1.6199999999999999E-2</v>
      </c>
      <c r="O145" s="35" t="s">
        <v>4</v>
      </c>
      <c r="P145" s="33">
        <v>4.0000000000000001E-3</v>
      </c>
      <c r="Q145" s="32">
        <v>1000000</v>
      </c>
      <c r="R145" s="34">
        <v>42612</v>
      </c>
      <c r="S145" s="42">
        <f>(R145-B145)/365.2421875</f>
        <v>3.0007486470877627</v>
      </c>
      <c r="T145" s="34">
        <v>42977</v>
      </c>
      <c r="U145" s="7" t="s">
        <v>3</v>
      </c>
      <c r="V145" s="7">
        <v>4</v>
      </c>
      <c r="W145" s="43"/>
      <c r="X145" s="7" t="s">
        <v>2</v>
      </c>
      <c r="Y145" s="7" t="s">
        <v>70</v>
      </c>
      <c r="AH145" s="7" t="s">
        <v>70</v>
      </c>
    </row>
    <row r="146" spans="1:35">
      <c r="A146" s="7" t="s">
        <v>69</v>
      </c>
      <c r="B146" s="34">
        <v>41533</v>
      </c>
      <c r="C146" s="7" t="s">
        <v>43</v>
      </c>
      <c r="D146" s="52">
        <v>900000000</v>
      </c>
      <c r="E146" s="40" t="s">
        <v>7</v>
      </c>
      <c r="F146" s="7" t="s">
        <v>6</v>
      </c>
      <c r="G146" s="7" t="s">
        <v>5</v>
      </c>
      <c r="H146" s="36">
        <v>500000000</v>
      </c>
      <c r="I146" s="36">
        <v>500000</v>
      </c>
      <c r="J146" s="36">
        <f>I146/(H146/M146)</f>
        <v>1000</v>
      </c>
      <c r="K146" s="41">
        <f>RATE(S146*4,N146/4*(Q146+J146),-M146,Q146+J146)</f>
        <v>7.8103636801630152E-3</v>
      </c>
      <c r="L146" s="44">
        <f>K146*4</f>
        <v>3.1241454720652061E-2</v>
      </c>
      <c r="M146" s="32">
        <v>1000000</v>
      </c>
      <c r="N146" s="33">
        <v>3.09E-2</v>
      </c>
      <c r="O146" s="35" t="s">
        <v>4</v>
      </c>
      <c r="P146" s="33">
        <v>1.2999999999999999E-2</v>
      </c>
      <c r="Q146" s="32">
        <v>1000000</v>
      </c>
      <c r="R146" s="34">
        <v>42658</v>
      </c>
      <c r="S146" s="42">
        <f>(R146-B146)/365.2421875</f>
        <v>3.0801480182242091</v>
      </c>
      <c r="U146" s="7" t="s">
        <v>3</v>
      </c>
      <c r="V146" s="7">
        <v>4</v>
      </c>
      <c r="W146" s="43"/>
      <c r="X146" s="7" t="s">
        <v>28</v>
      </c>
      <c r="AG146" s="7" t="s">
        <v>42</v>
      </c>
      <c r="AH146" s="7" t="s">
        <v>41</v>
      </c>
    </row>
    <row r="147" spans="1:35">
      <c r="A147" s="7" t="s">
        <v>68</v>
      </c>
      <c r="B147" s="34">
        <v>40571</v>
      </c>
      <c r="C147" s="7" t="s">
        <v>67</v>
      </c>
      <c r="D147" s="52">
        <v>360000000</v>
      </c>
      <c r="E147" s="40" t="s">
        <v>7</v>
      </c>
      <c r="F147" s="7" t="s">
        <v>53</v>
      </c>
      <c r="G147" s="7" t="s">
        <v>5</v>
      </c>
      <c r="H147" s="36">
        <v>600000000</v>
      </c>
      <c r="I147" s="36">
        <v>65000</v>
      </c>
      <c r="J147" s="36">
        <f>I147/(H147/M147)</f>
        <v>54.166666666666664</v>
      </c>
      <c r="K147" s="41">
        <f>RATE(S147*4,N147/4*(Q147+J147),-M147,Q147+J147)</f>
        <v>2.370686454758154E-2</v>
      </c>
      <c r="L147" s="37">
        <f>K147*4</f>
        <v>9.4827458190326161E-2</v>
      </c>
      <c r="M147" s="32">
        <v>500000</v>
      </c>
      <c r="N147" s="33">
        <v>9.4799999999999995E-2</v>
      </c>
      <c r="O147" s="35" t="s">
        <v>4</v>
      </c>
      <c r="P147" s="33">
        <v>6.7500000000000004E-2</v>
      </c>
      <c r="Q147" s="32">
        <v>500000</v>
      </c>
      <c r="R147" s="34">
        <v>42397</v>
      </c>
      <c r="S147" s="42">
        <f>(R147-B147)/365.2421875</f>
        <v>4.9994224722465832</v>
      </c>
      <c r="U147" s="7" t="s">
        <v>3</v>
      </c>
      <c r="V147" s="7">
        <v>4</v>
      </c>
      <c r="W147" s="43"/>
      <c r="X147" s="7" t="s">
        <v>56</v>
      </c>
      <c r="AD147" s="7" t="s">
        <v>66</v>
      </c>
      <c r="AH147" s="7" t="s">
        <v>65</v>
      </c>
    </row>
    <row r="148" spans="1:35">
      <c r="A148" s="7" t="s">
        <v>64</v>
      </c>
      <c r="B148" s="34">
        <v>41589</v>
      </c>
      <c r="C148" s="7" t="s">
        <v>60</v>
      </c>
      <c r="D148" s="52">
        <v>2600000000</v>
      </c>
      <c r="E148" s="40" t="s">
        <v>7</v>
      </c>
      <c r="F148" s="7" t="s">
        <v>38</v>
      </c>
      <c r="G148" s="7" t="s">
        <v>5</v>
      </c>
      <c r="H148" s="36">
        <v>300000000</v>
      </c>
      <c r="I148" s="36">
        <v>30000</v>
      </c>
      <c r="J148" s="36">
        <f>I148/(H148/M148)</f>
        <v>100</v>
      </c>
      <c r="K148" s="41">
        <f>RATE(S148*4,N148/4*(Q148+J148),-M148,Q148+J148)</f>
        <v>7.3087315491785539E-3</v>
      </c>
      <c r="L148" s="37">
        <f>K148*4</f>
        <v>2.9234926196714216E-2</v>
      </c>
      <c r="M148" s="32">
        <v>1000000</v>
      </c>
      <c r="N148" s="33">
        <v>2.92E-2</v>
      </c>
      <c r="O148" s="35" t="s">
        <v>4</v>
      </c>
      <c r="P148" s="33">
        <v>1.2500000000000001E-2</v>
      </c>
      <c r="Q148" s="32">
        <v>1000000</v>
      </c>
      <c r="R148" s="34">
        <v>42685</v>
      </c>
      <c r="S148" s="42">
        <f>(R148-B148)/365.2421875</f>
        <v>3.0007486470877627</v>
      </c>
      <c r="U148" s="7" t="s">
        <v>3</v>
      </c>
      <c r="V148" s="7">
        <v>4</v>
      </c>
      <c r="W148" s="43"/>
      <c r="X148" s="7" t="s">
        <v>2</v>
      </c>
      <c r="AB148" s="7" t="s">
        <v>24</v>
      </c>
      <c r="AH148" s="7" t="s">
        <v>23</v>
      </c>
    </row>
    <row r="149" spans="1:35">
      <c r="A149" s="7" t="s">
        <v>63</v>
      </c>
      <c r="B149" s="34">
        <v>41569</v>
      </c>
      <c r="C149" s="7" t="s">
        <v>62</v>
      </c>
      <c r="D149" s="52">
        <f>510000000*5.92</f>
        <v>3019200000</v>
      </c>
      <c r="E149" s="40" t="s">
        <v>7</v>
      </c>
      <c r="F149" s="7" t="s">
        <v>53</v>
      </c>
      <c r="G149" s="7" t="s">
        <v>5</v>
      </c>
      <c r="H149" s="36">
        <v>700000000</v>
      </c>
      <c r="I149" s="36">
        <v>30000</v>
      </c>
      <c r="J149" s="36">
        <f>I149/(H149/M149)</f>
        <v>42.857142857142854</v>
      </c>
      <c r="K149" s="41">
        <f>RATE(S149*4,N149/4*(Q149+J149),-M149,Q149+J149)</f>
        <v>1.1627414187021986E-2</v>
      </c>
      <c r="L149" s="37">
        <f>K149*4</f>
        <v>4.6509656748087942E-2</v>
      </c>
      <c r="M149" s="32">
        <v>1000000</v>
      </c>
      <c r="N149" s="33">
        <v>4.65E-2</v>
      </c>
      <c r="O149" s="35" t="s">
        <v>4</v>
      </c>
      <c r="P149" s="33">
        <v>2.9499999999999998E-2</v>
      </c>
      <c r="Q149" s="32">
        <v>1000000</v>
      </c>
      <c r="R149" s="34">
        <v>43395</v>
      </c>
      <c r="S149" s="42">
        <f>(R149-B149)/365.2421875</f>
        <v>4.9994224722465832</v>
      </c>
      <c r="U149" s="7" t="s">
        <v>3</v>
      </c>
      <c r="V149" s="7">
        <v>4</v>
      </c>
      <c r="W149" s="43"/>
      <c r="X149" s="7" t="s">
        <v>28</v>
      </c>
      <c r="AD149" s="7" t="s">
        <v>11</v>
      </c>
      <c r="AH149" s="7" t="s">
        <v>10</v>
      </c>
    </row>
    <row r="150" spans="1:35">
      <c r="A150" s="7" t="s">
        <v>61</v>
      </c>
      <c r="B150" s="34">
        <v>41166</v>
      </c>
      <c r="C150" s="7" t="s">
        <v>60</v>
      </c>
      <c r="D150" s="52">
        <v>2500000000</v>
      </c>
      <c r="E150" s="40" t="s">
        <v>7</v>
      </c>
      <c r="F150" s="7" t="s">
        <v>38</v>
      </c>
      <c r="G150" s="7" t="s">
        <v>5</v>
      </c>
      <c r="H150" s="36">
        <v>725000000</v>
      </c>
      <c r="I150" s="36">
        <v>80000</v>
      </c>
      <c r="J150" s="36">
        <f>I150/(H150/M150)</f>
        <v>110.34482758620689</v>
      </c>
      <c r="K150" s="41">
        <f>RATE(S150*4,N150/4*(Q150+J150),-M150,Q150+J150)</f>
        <v>8.6310308195451119E-3</v>
      </c>
      <c r="L150" s="37">
        <f>K150*4</f>
        <v>3.4524123278180448E-2</v>
      </c>
      <c r="M150" s="32">
        <v>1000000</v>
      </c>
      <c r="N150" s="33">
        <v>3.4500000000000003E-2</v>
      </c>
      <c r="O150" s="35" t="s">
        <v>4</v>
      </c>
      <c r="P150" s="33">
        <v>1.7000000000000001E-2</v>
      </c>
      <c r="Q150" s="32">
        <v>1000000</v>
      </c>
      <c r="R150" s="34">
        <v>42992</v>
      </c>
      <c r="S150" s="42">
        <f>(R150-B150)/365.2421875</f>
        <v>4.9994224722465832</v>
      </c>
      <c r="U150" s="7" t="s">
        <v>3</v>
      </c>
      <c r="V150" s="7">
        <v>4</v>
      </c>
      <c r="W150" s="43"/>
      <c r="X150" s="7" t="s">
        <v>2</v>
      </c>
      <c r="AB150" s="7" t="s">
        <v>24</v>
      </c>
      <c r="AH150" s="7" t="s">
        <v>23</v>
      </c>
    </row>
    <row r="151" spans="1:35">
      <c r="A151" s="7" t="s">
        <v>59</v>
      </c>
      <c r="B151" s="34">
        <v>41585</v>
      </c>
      <c r="C151" s="7" t="s">
        <v>58</v>
      </c>
      <c r="D151" s="52">
        <f>D140</f>
        <v>4000000000</v>
      </c>
      <c r="E151" s="40" t="s">
        <v>19</v>
      </c>
      <c r="F151" s="7" t="s">
        <v>18</v>
      </c>
      <c r="G151" s="7" t="s">
        <v>57</v>
      </c>
      <c r="H151" s="36">
        <v>450000000</v>
      </c>
      <c r="I151" s="36">
        <v>30000</v>
      </c>
      <c r="J151" s="36">
        <f>I151/(H151/M151)</f>
        <v>66.666666666666671</v>
      </c>
      <c r="K151" s="41"/>
      <c r="M151" s="32">
        <v>1000000</v>
      </c>
      <c r="N151" s="33">
        <f>P151+0.017</f>
        <v>5.2000000000000005E-2</v>
      </c>
      <c r="O151" s="35" t="s">
        <v>4</v>
      </c>
      <c r="P151" s="33">
        <v>3.5000000000000003E-2</v>
      </c>
      <c r="Q151" s="32">
        <v>1000000</v>
      </c>
      <c r="S151" s="42"/>
      <c r="U151" s="7" t="s">
        <v>3</v>
      </c>
      <c r="V151" s="7">
        <v>4</v>
      </c>
      <c r="W151" s="43"/>
      <c r="X151" s="7" t="s">
        <v>56</v>
      </c>
      <c r="Y151" s="7" t="s">
        <v>15</v>
      </c>
      <c r="AH151" s="7" t="s">
        <v>15</v>
      </c>
    </row>
    <row r="152" spans="1:35">
      <c r="A152" s="7" t="s">
        <v>55</v>
      </c>
      <c r="B152" s="34">
        <v>41613</v>
      </c>
      <c r="C152" s="7" t="s">
        <v>54</v>
      </c>
      <c r="D152" s="52">
        <f>221284000*5.92</f>
        <v>1310001280</v>
      </c>
      <c r="E152" s="40" t="s">
        <v>7</v>
      </c>
      <c r="F152" s="7" t="s">
        <v>53</v>
      </c>
      <c r="G152" s="7" t="s">
        <v>5</v>
      </c>
      <c r="H152" s="36">
        <v>500000000</v>
      </c>
      <c r="I152" s="36">
        <v>35000</v>
      </c>
      <c r="J152" s="36">
        <f>I152/(H152/M152)</f>
        <v>70</v>
      </c>
      <c r="K152" s="41">
        <f>RATE(S152*4,N152/4*(Q152+J152),-M152,Q152+J152)</f>
        <v>2.2955276515411838E-2</v>
      </c>
      <c r="L152" s="37">
        <f>K152*4</f>
        <v>9.1821106061647353E-2</v>
      </c>
      <c r="M152" s="32">
        <v>1000000</v>
      </c>
      <c r="N152" s="33">
        <v>9.1800000000000007E-2</v>
      </c>
      <c r="O152" s="35" t="s">
        <v>4</v>
      </c>
      <c r="P152" s="33">
        <v>7.4999999999999997E-2</v>
      </c>
      <c r="Q152" s="32">
        <v>1000000</v>
      </c>
      <c r="R152" s="34">
        <v>43074</v>
      </c>
      <c r="S152" s="42">
        <f>(R152-B152)/365.2421875</f>
        <v>4.0000855596671725</v>
      </c>
      <c r="U152" s="7" t="s">
        <v>3</v>
      </c>
      <c r="V152" s="7">
        <v>4</v>
      </c>
      <c r="W152" s="43"/>
      <c r="X152" s="7" t="s">
        <v>2</v>
      </c>
      <c r="AB152" s="7" t="s">
        <v>52</v>
      </c>
      <c r="AH152" s="7" t="s">
        <v>51</v>
      </c>
      <c r="AI152" s="7" t="s">
        <v>22</v>
      </c>
    </row>
    <row r="153" spans="1:35">
      <c r="A153" s="7" t="s">
        <v>50</v>
      </c>
      <c r="B153" s="34">
        <v>41599</v>
      </c>
      <c r="C153" s="7" t="s">
        <v>49</v>
      </c>
      <c r="D153" s="52">
        <v>280000000</v>
      </c>
      <c r="E153" s="40" t="s">
        <v>19</v>
      </c>
      <c r="F153" s="7" t="s">
        <v>18</v>
      </c>
      <c r="G153" s="7" t="s">
        <v>17</v>
      </c>
      <c r="H153" s="36">
        <v>2000000000</v>
      </c>
      <c r="I153" s="36">
        <v>50000</v>
      </c>
      <c r="J153" s="36">
        <f>I153/(H153/M153)</f>
        <v>25</v>
      </c>
      <c r="K153" s="41">
        <f>RATE(S153*4,N153/4*(Q153+J153),-M153,Q153+J153)</f>
        <v>1.0125763261903129E-2</v>
      </c>
      <c r="L153" s="37">
        <f>K153*4</f>
        <v>4.0503053047612515E-2</v>
      </c>
      <c r="M153" s="32">
        <v>1000000</v>
      </c>
      <c r="N153" s="33">
        <v>4.0500000000000001E-2</v>
      </c>
      <c r="Q153" s="32">
        <v>1000000</v>
      </c>
      <c r="R153" s="34">
        <v>45251</v>
      </c>
      <c r="S153" s="42">
        <f>(R153-B153)/365.2421875</f>
        <v>9.9988449444931664</v>
      </c>
      <c r="U153" s="7" t="s">
        <v>16</v>
      </c>
      <c r="V153" s="7">
        <v>1</v>
      </c>
      <c r="W153" s="43">
        <f>MDURATION(B153,R153,N153,L153,V153)</f>
        <v>8.0906990166116923</v>
      </c>
      <c r="X153" s="7" t="s">
        <v>2</v>
      </c>
      <c r="Y153" s="7" t="s">
        <v>15</v>
      </c>
      <c r="AH153" s="7" t="s">
        <v>15</v>
      </c>
    </row>
    <row r="154" spans="1:35">
      <c r="A154" s="7" t="s">
        <v>48</v>
      </c>
      <c r="B154" s="34">
        <v>41621</v>
      </c>
      <c r="C154" s="7" t="s">
        <v>47</v>
      </c>
      <c r="D154" s="52">
        <f>D103</f>
        <v>420000000</v>
      </c>
      <c r="E154" s="40" t="s">
        <v>19</v>
      </c>
      <c r="F154" s="7" t="s">
        <v>18</v>
      </c>
      <c r="G154" s="7" t="s">
        <v>33</v>
      </c>
      <c r="H154" s="36">
        <v>1500000000</v>
      </c>
      <c r="I154" s="36">
        <v>120000</v>
      </c>
      <c r="J154" s="36">
        <f>I154/(H154/M154)</f>
        <v>80</v>
      </c>
      <c r="K154" s="41">
        <f>RATE(S154*4,N154/4*(Q154+J154),-M154,Q154+J154)</f>
        <v>5.2290351610641906E-3</v>
      </c>
      <c r="L154" s="37">
        <f>K154*4</f>
        <v>2.0916140644256762E-2</v>
      </c>
      <c r="M154" s="32">
        <v>1000000</v>
      </c>
      <c r="N154" s="33">
        <v>2.0899999999999998E-2</v>
      </c>
      <c r="O154" s="35" t="s">
        <v>4</v>
      </c>
      <c r="P154" s="33">
        <v>4.4999999999999997E-3</v>
      </c>
      <c r="Q154" s="32">
        <v>1000000</v>
      </c>
      <c r="R154" s="34">
        <v>43537</v>
      </c>
      <c r="S154" s="42">
        <f>(R154-B154)/365.2421875</f>
        <v>5.2458343137045196</v>
      </c>
      <c r="T154" s="34">
        <v>43903</v>
      </c>
      <c r="U154" s="7" t="s">
        <v>3</v>
      </c>
      <c r="V154" s="7">
        <v>4</v>
      </c>
      <c r="W154" s="43"/>
      <c r="X154" s="7" t="s">
        <v>2</v>
      </c>
      <c r="Y154" s="7" t="s">
        <v>46</v>
      </c>
      <c r="AH154" s="7" t="s">
        <v>46</v>
      </c>
    </row>
    <row r="155" spans="1:35">
      <c r="A155" s="7" t="s">
        <v>45</v>
      </c>
      <c r="B155" s="34">
        <v>41605</v>
      </c>
      <c r="C155" s="7" t="s">
        <v>43</v>
      </c>
      <c r="D155" s="52">
        <f>D146</f>
        <v>900000000</v>
      </c>
      <c r="E155" s="40" t="s">
        <v>7</v>
      </c>
      <c r="F155" s="7" t="s">
        <v>6</v>
      </c>
      <c r="G155" s="7" t="s">
        <v>5</v>
      </c>
      <c r="H155" s="36">
        <v>250000000</v>
      </c>
      <c r="I155" s="36">
        <v>30000</v>
      </c>
      <c r="J155" s="36">
        <f>I155/(H155/M155)</f>
        <v>120</v>
      </c>
      <c r="K155" s="41">
        <f>RATE(S155*4,N155/4*(Q155+J155),-M155,Q155+J155)</f>
        <v>7.7328058652205841E-3</v>
      </c>
      <c r="L155" s="37">
        <f>K155*4</f>
        <v>3.0931223460882337E-2</v>
      </c>
      <c r="M155" s="32">
        <v>1000000</v>
      </c>
      <c r="N155" s="33">
        <v>3.09E-2</v>
      </c>
      <c r="O155" s="35" t="s">
        <v>4</v>
      </c>
      <c r="P155" s="33">
        <v>1.4999999999999999E-2</v>
      </c>
      <c r="Q155" s="32">
        <v>1000000</v>
      </c>
      <c r="R155" s="34">
        <v>43105</v>
      </c>
      <c r="S155" s="42">
        <f>(R155-B155)/365.2421875</f>
        <v>4.1068640242989458</v>
      </c>
      <c r="U155" s="7" t="s">
        <v>3</v>
      </c>
      <c r="V155" s="7">
        <v>4</v>
      </c>
      <c r="W155" s="43"/>
      <c r="X155" s="7" t="s">
        <v>2</v>
      </c>
      <c r="AG155" s="7" t="s">
        <v>42</v>
      </c>
      <c r="AH155" s="7" t="s">
        <v>41</v>
      </c>
    </row>
    <row r="156" spans="1:35">
      <c r="A156" s="7" t="s">
        <v>44</v>
      </c>
      <c r="B156" s="34">
        <v>41605</v>
      </c>
      <c r="C156" s="7" t="s">
        <v>43</v>
      </c>
      <c r="D156" s="52">
        <f>D155</f>
        <v>900000000</v>
      </c>
      <c r="E156" s="40" t="s">
        <v>7</v>
      </c>
      <c r="F156" s="7" t="s">
        <v>6</v>
      </c>
      <c r="G156" s="7" t="s">
        <v>17</v>
      </c>
      <c r="H156" s="36">
        <v>205000000</v>
      </c>
      <c r="I156" s="36">
        <v>30000</v>
      </c>
      <c r="J156" s="36">
        <f>I156/(H156/M156)</f>
        <v>146.34146341463415</v>
      </c>
      <c r="K156" s="41">
        <f>RATE(S156*4,N156/4*(Q156+J156),-M156,Q156+J156)</f>
        <v>9.2596427417689971E-3</v>
      </c>
      <c r="L156" s="37">
        <f>K156*4</f>
        <v>3.7038570967075989E-2</v>
      </c>
      <c r="M156" s="32">
        <v>1000000</v>
      </c>
      <c r="N156" s="33">
        <v>3.6999999999999998E-2</v>
      </c>
      <c r="Q156" s="32">
        <f>Q155</f>
        <v>1000000</v>
      </c>
      <c r="R156" s="34">
        <v>43105</v>
      </c>
      <c r="S156" s="42">
        <f>(R156-B156)/365.2421875</f>
        <v>4.1068640242989458</v>
      </c>
      <c r="U156" s="7" t="s">
        <v>16</v>
      </c>
      <c r="V156" s="7">
        <v>1</v>
      </c>
      <c r="W156" s="43">
        <f>MDURATION(B156,R156,N156,L156,V156)</f>
        <v>3.6268927279899681</v>
      </c>
      <c r="X156" s="7" t="s">
        <v>2</v>
      </c>
      <c r="AG156" s="7" t="s">
        <v>42</v>
      </c>
      <c r="AH156" s="7" t="s">
        <v>41</v>
      </c>
    </row>
    <row r="157" spans="1:35">
      <c r="A157" s="7" t="s">
        <v>40</v>
      </c>
      <c r="B157" s="34">
        <v>41603</v>
      </c>
      <c r="C157" s="7" t="s">
        <v>39</v>
      </c>
      <c r="D157" s="52">
        <f>D130</f>
        <v>58600000000</v>
      </c>
      <c r="E157" s="40" t="s">
        <v>7</v>
      </c>
      <c r="F157" s="7" t="s">
        <v>38</v>
      </c>
      <c r="G157" s="7" t="s">
        <v>17</v>
      </c>
      <c r="H157" s="36">
        <v>1500000000</v>
      </c>
      <c r="I157" s="36">
        <v>30000</v>
      </c>
      <c r="J157" s="36">
        <f>I157/(H157/M157)</f>
        <v>2</v>
      </c>
      <c r="K157" s="41">
        <f>RATE(S157*4,N157/4*(Q157+J157),-M157,Q157+J157)</f>
        <v>9.5008167679450535E-3</v>
      </c>
      <c r="L157" s="37">
        <f>K157*4</f>
        <v>3.8003267071780214E-2</v>
      </c>
      <c r="M157" s="32">
        <f>M137</f>
        <v>100000</v>
      </c>
      <c r="N157" s="33">
        <v>3.7999999999999999E-2</v>
      </c>
      <c r="Q157" s="32">
        <f>Q137</f>
        <v>100000</v>
      </c>
      <c r="R157" s="34">
        <v>44160</v>
      </c>
      <c r="S157" s="42">
        <f>(R157-B157)/365.2421875</f>
        <v>7.0008342067549361</v>
      </c>
      <c r="U157" s="7" t="s">
        <v>16</v>
      </c>
      <c r="V157" s="7">
        <v>1</v>
      </c>
      <c r="W157" s="43">
        <f>MDURATION(B157,R157,N157,L157,V157)</f>
        <v>6.0466407128793271</v>
      </c>
      <c r="X157" s="7" t="s">
        <v>2</v>
      </c>
      <c r="AE157" s="7" t="s">
        <v>37</v>
      </c>
      <c r="AH157" s="7" t="s">
        <v>36</v>
      </c>
    </row>
    <row r="158" spans="1:35">
      <c r="A158" s="7" t="s">
        <v>35</v>
      </c>
      <c r="B158" s="34">
        <v>41597</v>
      </c>
      <c r="C158" s="7" t="s">
        <v>34</v>
      </c>
      <c r="D158" s="52">
        <f>D145</f>
        <v>330000000</v>
      </c>
      <c r="E158" s="40" t="s">
        <v>19</v>
      </c>
      <c r="F158" s="7" t="s">
        <v>18</v>
      </c>
      <c r="G158" s="7" t="s">
        <v>33</v>
      </c>
      <c r="H158" s="36">
        <v>1500000000</v>
      </c>
      <c r="I158" s="36">
        <v>75000</v>
      </c>
      <c r="J158" s="36">
        <f>I158/(H158/M158)</f>
        <v>50</v>
      </c>
      <c r="K158" s="41">
        <f>RATE(S158*4,N158/4*(Q158+J158),-M158,Q158+J158)</f>
        <v>5.5273872834577095E-3</v>
      </c>
      <c r="L158" s="37">
        <f>K158*4</f>
        <v>2.2109549133830838E-2</v>
      </c>
      <c r="M158" s="32">
        <f>M156</f>
        <v>1000000</v>
      </c>
      <c r="N158" s="33">
        <v>2.2100000000000002E-2</v>
      </c>
      <c r="O158" s="35" t="s">
        <v>4</v>
      </c>
      <c r="P158" s="33">
        <v>6.0000000000000001E-3</v>
      </c>
      <c r="Q158" s="32">
        <f>Q156</f>
        <v>1000000</v>
      </c>
      <c r="R158" s="34">
        <v>43635</v>
      </c>
      <c r="S158" s="42">
        <f>(R158-B158)/365.2421875</f>
        <v>5.5798592543475003</v>
      </c>
      <c r="T158" s="34">
        <v>44001</v>
      </c>
      <c r="U158" s="7" t="s">
        <v>3</v>
      </c>
      <c r="V158" s="7">
        <v>4</v>
      </c>
      <c r="W158" s="43"/>
      <c r="X158" s="7" t="s">
        <v>2</v>
      </c>
      <c r="Y158" s="7" t="s">
        <v>32</v>
      </c>
      <c r="AH158" s="7" t="s">
        <v>32</v>
      </c>
    </row>
    <row r="159" spans="1:35">
      <c r="A159" s="7" t="s">
        <v>31</v>
      </c>
      <c r="B159" s="34">
        <v>41600</v>
      </c>
      <c r="C159" s="7" t="s">
        <v>30</v>
      </c>
      <c r="D159" s="52">
        <v>30000000000</v>
      </c>
      <c r="E159" s="40" t="s">
        <v>7</v>
      </c>
      <c r="F159" s="7" t="s">
        <v>29</v>
      </c>
      <c r="G159" s="7" t="s">
        <v>17</v>
      </c>
      <c r="H159" s="36">
        <v>1500000000</v>
      </c>
      <c r="I159" s="36">
        <v>115000</v>
      </c>
      <c r="J159" s="36">
        <f>I159/(H159/M159)</f>
        <v>76.666666666666671</v>
      </c>
      <c r="K159" s="41">
        <f>RATE(S159*4,N159/4*(Q159+J159),-M159,Q159+J159)</f>
        <v>1.0877342890551894E-2</v>
      </c>
      <c r="L159" s="37">
        <f>K159*4</f>
        <v>4.3509371562207577E-2</v>
      </c>
      <c r="M159" s="32">
        <f>M158</f>
        <v>1000000</v>
      </c>
      <c r="N159" s="33">
        <v>4.3499999999999997E-2</v>
      </c>
      <c r="Q159" s="32">
        <f>Q158</f>
        <v>1000000</v>
      </c>
      <c r="R159" s="34">
        <v>45313</v>
      </c>
      <c r="S159" s="42">
        <f>(R159-B159)/365.2421875</f>
        <v>10.165857414814656</v>
      </c>
      <c r="U159" s="7" t="s">
        <v>16</v>
      </c>
      <c r="V159" s="7">
        <v>1</v>
      </c>
      <c r="W159" s="43">
        <f>MDURATION(B159,R159,N159,L159,V159)</f>
        <v>7.7986579129631002</v>
      </c>
      <c r="X159" s="7" t="s">
        <v>28</v>
      </c>
    </row>
    <row r="160" spans="1:35">
      <c r="A160" s="7" t="s">
        <v>27</v>
      </c>
      <c r="B160" s="34">
        <v>41663</v>
      </c>
      <c r="C160" s="7" t="s">
        <v>26</v>
      </c>
      <c r="D160" s="52">
        <v>11500000000</v>
      </c>
      <c r="E160" s="40" t="s">
        <v>7</v>
      </c>
      <c r="F160" s="7" t="s">
        <v>25</v>
      </c>
      <c r="G160" s="7" t="s">
        <v>17</v>
      </c>
      <c r="H160" s="36">
        <v>750000000</v>
      </c>
      <c r="I160" s="36">
        <v>40000</v>
      </c>
      <c r="J160" s="36">
        <f>I160/(H160/M160)</f>
        <v>53.333333333333336</v>
      </c>
      <c r="K160" s="41">
        <f>RATE(S160*4,N160/4*(Q160+J160),-M160,Q160+J160)</f>
        <v>1.0626643757822405E-2</v>
      </c>
      <c r="L160" s="37">
        <f>K160*4</f>
        <v>4.2506575031289622E-2</v>
      </c>
      <c r="M160" s="32">
        <f>M159</f>
        <v>1000000</v>
      </c>
      <c r="N160" s="33">
        <v>4.2500000000000003E-2</v>
      </c>
      <c r="Q160" s="32">
        <f>Q159</f>
        <v>1000000</v>
      </c>
      <c r="R160" s="34">
        <v>45315</v>
      </c>
      <c r="S160" s="42">
        <f>(R160-B160)/365.2421875</f>
        <v>9.9988449444931664</v>
      </c>
      <c r="U160" s="7" t="s">
        <v>16</v>
      </c>
      <c r="V160" s="7">
        <v>1</v>
      </c>
      <c r="W160" s="43">
        <f>MDURATION(B160,R160,N160,L160,V160)</f>
        <v>8.010787779882417</v>
      </c>
      <c r="X160" s="7" t="s">
        <v>2</v>
      </c>
      <c r="AB160" s="7" t="s">
        <v>24</v>
      </c>
      <c r="AH160" s="7" t="s">
        <v>23</v>
      </c>
      <c r="AI160" s="7" t="s">
        <v>22</v>
      </c>
    </row>
    <row r="161" spans="1:34">
      <c r="A161" s="7" t="s">
        <v>21</v>
      </c>
      <c r="B161" s="34">
        <v>41603</v>
      </c>
      <c r="C161" s="7" t="s">
        <v>20</v>
      </c>
      <c r="D161" s="52">
        <v>1400000000</v>
      </c>
      <c r="E161" s="40" t="s">
        <v>19</v>
      </c>
      <c r="F161" s="7" t="s">
        <v>18</v>
      </c>
      <c r="G161" s="7" t="s">
        <v>17</v>
      </c>
      <c r="H161" s="36">
        <v>400000000</v>
      </c>
      <c r="I161" s="36">
        <v>650000</v>
      </c>
      <c r="J161" s="36">
        <f>I161/(H161/M161)</f>
        <v>1625</v>
      </c>
      <c r="K161" s="41">
        <f>RATE(S161*4,N161/4*(Q161+J161),-M161,Q161+J161)</f>
        <v>1.0049805881308549E-2</v>
      </c>
      <c r="L161" s="37">
        <f>K161*4</f>
        <v>4.0199223525234196E-2</v>
      </c>
      <c r="M161" s="32">
        <f>M160</f>
        <v>1000000</v>
      </c>
      <c r="N161" s="33">
        <v>0.04</v>
      </c>
      <c r="Q161" s="32">
        <f>Q160</f>
        <v>1000000</v>
      </c>
      <c r="R161" s="34">
        <v>45224</v>
      </c>
      <c r="S161" s="42">
        <f>(R161-B161)/365.2421875</f>
        <v>9.9139697546576535</v>
      </c>
      <c r="U161" s="7" t="s">
        <v>16</v>
      </c>
      <c r="V161" s="7">
        <v>1</v>
      </c>
      <c r="W161" s="43">
        <f>MDURATION(B161,R161,N161,L161,V161)</f>
        <v>8.0278011204219304</v>
      </c>
      <c r="X161" s="7" t="s">
        <v>2</v>
      </c>
      <c r="Y161" s="7" t="s">
        <v>15</v>
      </c>
      <c r="AH161" s="7" t="s">
        <v>15</v>
      </c>
    </row>
    <row r="162" spans="1:34">
      <c r="A162" s="7" t="s">
        <v>14</v>
      </c>
      <c r="B162" s="34">
        <v>41663</v>
      </c>
      <c r="C162" s="7" t="s">
        <v>13</v>
      </c>
      <c r="D162" s="52">
        <v>6000000000</v>
      </c>
      <c r="E162" s="40" t="s">
        <v>7</v>
      </c>
      <c r="F162" s="7" t="s">
        <v>12</v>
      </c>
      <c r="G162" s="7" t="s">
        <v>5</v>
      </c>
      <c r="H162" s="50">
        <v>1500000000</v>
      </c>
      <c r="I162" s="36">
        <v>50000</v>
      </c>
      <c r="J162" s="36">
        <f>I162/(H162/M162)</f>
        <v>33.333333333333336</v>
      </c>
      <c r="K162" s="41">
        <f>RATE(S162*4,N162/4*(Q162+J162),-M162,Q162+J162)</f>
        <v>1.0501706147929267E-2</v>
      </c>
      <c r="L162" s="37">
        <f>K162*4</f>
        <v>4.2006824591717069E-2</v>
      </c>
      <c r="M162" s="32">
        <v>1000000</v>
      </c>
      <c r="N162" s="33">
        <v>4.2000000000000003E-2</v>
      </c>
      <c r="O162" s="35" t="s">
        <v>4</v>
      </c>
      <c r="P162" s="33">
        <v>3.2500000000000001E-2</v>
      </c>
      <c r="Q162" s="32">
        <v>1000000</v>
      </c>
      <c r="R162" s="34">
        <v>43670</v>
      </c>
      <c r="S162" s="42">
        <f>(R162-B162)/365.2421875</f>
        <v>5.4949840645119892</v>
      </c>
      <c r="U162" s="7" t="s">
        <v>3</v>
      </c>
      <c r="V162" s="7">
        <v>4</v>
      </c>
      <c r="W162" s="43"/>
      <c r="X162" s="7" t="s">
        <v>2</v>
      </c>
      <c r="AB162" s="7" t="s">
        <v>11</v>
      </c>
      <c r="AH162" s="7" t="s">
        <v>10</v>
      </c>
    </row>
    <row r="163" spans="1:34">
      <c r="A163" s="7" t="s">
        <v>9</v>
      </c>
      <c r="B163" s="34">
        <v>41606</v>
      </c>
      <c r="C163" s="7" t="s">
        <v>8</v>
      </c>
      <c r="D163" s="52">
        <v>3200000000</v>
      </c>
      <c r="E163" s="40" t="s">
        <v>7</v>
      </c>
      <c r="F163" s="7" t="s">
        <v>6</v>
      </c>
      <c r="G163" s="7" t="s">
        <v>5</v>
      </c>
      <c r="H163" s="36">
        <v>350000000</v>
      </c>
      <c r="I163" s="36">
        <v>165000</v>
      </c>
      <c r="J163" s="36">
        <f>I163/(H163/M163)</f>
        <v>471.42857142857144</v>
      </c>
      <c r="K163" s="41">
        <f>RATE(S163*4,N163/4*(Q163+J163),-M163,Q163+J163)</f>
        <v>1.3652085184447511E-2</v>
      </c>
      <c r="L163" s="37">
        <f>K163*4</f>
        <v>5.4608340737790043E-2</v>
      </c>
      <c r="M163" s="32">
        <v>1000000</v>
      </c>
      <c r="N163" s="33">
        <v>5.45E-2</v>
      </c>
      <c r="O163" s="35" t="s">
        <v>4</v>
      </c>
      <c r="P163" s="33">
        <v>3.7999999999999999E-2</v>
      </c>
      <c r="Q163" s="32">
        <v>1000000</v>
      </c>
      <c r="R163" s="34">
        <v>43432</v>
      </c>
      <c r="S163" s="42">
        <f>(R163-B163)/365.2421875</f>
        <v>4.9994224722465832</v>
      </c>
      <c r="U163" s="7" t="s">
        <v>3</v>
      </c>
      <c r="V163" s="7">
        <v>4</v>
      </c>
      <c r="W163" s="43"/>
      <c r="X163" s="7" t="s">
        <v>2</v>
      </c>
      <c r="AB163" s="7" t="s">
        <v>1</v>
      </c>
      <c r="AH163" s="7" t="s">
        <v>0</v>
      </c>
    </row>
  </sheetData>
  <mergeCells count="1">
    <mergeCell ref="Y2:AF2"/>
  </mergeCells>
  <phoneticPr fontId="7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2"/>
  <sheetViews>
    <sheetView workbookViewId="0">
      <selection activeCell="C20" sqref="C20"/>
    </sheetView>
  </sheetViews>
  <sheetFormatPr baseColWidth="10" defaultColWidth="8.83203125" defaultRowHeight="15" x14ac:dyDescent="0"/>
  <cols>
    <col min="1" max="1" width="14" style="1" bestFit="1" customWidth="1"/>
    <col min="2" max="2" width="10.1640625" style="1" bestFit="1" customWidth="1"/>
    <col min="3" max="3" width="34.33203125" style="1" bestFit="1" customWidth="1"/>
    <col min="4" max="4" width="22.1640625" style="6" customWidth="1"/>
    <col min="5" max="5" width="19.33203125" style="1" bestFit="1" customWidth="1"/>
    <col min="6" max="6" width="32.5" style="1" bestFit="1" customWidth="1"/>
    <col min="7" max="7" width="17.1640625" style="18" customWidth="1"/>
    <col min="8" max="8" width="11.6640625" style="1" hidden="1" customWidth="1"/>
    <col min="9" max="9" width="10.83203125" style="1" hidden="1" customWidth="1"/>
    <col min="10" max="10" width="13" style="1" hidden="1" customWidth="1"/>
    <col min="11" max="11" width="12.83203125" style="1" hidden="1" customWidth="1"/>
    <col min="12" max="12" width="17.33203125" style="18" bestFit="1" customWidth="1"/>
    <col min="13" max="13" width="12.5" style="3" bestFit="1" customWidth="1"/>
    <col min="14" max="14" width="8.83203125" style="17"/>
    <col min="15" max="15" width="12" style="3" bestFit="1" customWidth="1"/>
    <col min="16" max="16" width="10.5" style="1" hidden="1" customWidth="1"/>
    <col min="17" max="17" width="13.33203125" style="1" bestFit="1" customWidth="1"/>
    <col min="18" max="18" width="13.33203125" style="1" customWidth="1"/>
    <col min="19" max="19" width="14.33203125" style="4" bestFit="1" customWidth="1"/>
    <col min="20" max="20" width="12.5" style="1" bestFit="1" customWidth="1"/>
    <col min="21" max="21" width="16.1640625" style="1" bestFit="1" customWidth="1"/>
    <col min="22" max="22" width="8.83203125" style="1"/>
    <col min="23" max="33" width="0" style="1" hidden="1" customWidth="1"/>
    <col min="34" max="16384" width="8.83203125" style="1"/>
  </cols>
  <sheetData>
    <row r="1" spans="1:33">
      <c r="A1" s="31" t="s">
        <v>1200</v>
      </c>
      <c r="B1" s="31"/>
    </row>
    <row r="2" spans="1:33" ht="14">
      <c r="A2" s="11" t="s">
        <v>332</v>
      </c>
      <c r="B2" s="11" t="s">
        <v>331</v>
      </c>
      <c r="C2" s="11" t="s">
        <v>7</v>
      </c>
      <c r="D2" s="28" t="s">
        <v>330</v>
      </c>
      <c r="E2" s="11" t="s">
        <v>328</v>
      </c>
      <c r="F2" s="11" t="s">
        <v>327</v>
      </c>
      <c r="G2" s="27" t="s">
        <v>1199</v>
      </c>
      <c r="H2" s="26" t="s">
        <v>325</v>
      </c>
      <c r="I2" s="26" t="s">
        <v>324</v>
      </c>
      <c r="J2" s="26" t="s">
        <v>323</v>
      </c>
      <c r="K2" s="26" t="s">
        <v>322</v>
      </c>
      <c r="L2" s="25" t="s">
        <v>321</v>
      </c>
      <c r="M2" s="15" t="s">
        <v>320</v>
      </c>
      <c r="N2" s="24" t="s">
        <v>319</v>
      </c>
      <c r="O2" s="15" t="s">
        <v>318</v>
      </c>
      <c r="P2" s="12" t="s">
        <v>317</v>
      </c>
      <c r="Q2" s="11" t="s">
        <v>316</v>
      </c>
      <c r="R2" s="11" t="s">
        <v>314</v>
      </c>
      <c r="S2" s="23" t="s">
        <v>315</v>
      </c>
      <c r="T2" s="11" t="s">
        <v>314</v>
      </c>
      <c r="U2" s="11" t="s">
        <v>313</v>
      </c>
      <c r="V2" s="11" t="s">
        <v>98</v>
      </c>
      <c r="W2" s="11" t="s">
        <v>310</v>
      </c>
      <c r="X2" s="11" t="s">
        <v>309</v>
      </c>
      <c r="Y2" s="11" t="s">
        <v>308</v>
      </c>
      <c r="Z2" s="11" t="s">
        <v>307</v>
      </c>
      <c r="AA2" s="11" t="s">
        <v>306</v>
      </c>
      <c r="AB2" s="11" t="s">
        <v>305</v>
      </c>
      <c r="AC2" s="11" t="s">
        <v>304</v>
      </c>
      <c r="AD2" s="11" t="s">
        <v>303</v>
      </c>
      <c r="AE2" s="11" t="s">
        <v>302</v>
      </c>
      <c r="AF2" s="11" t="s">
        <v>301</v>
      </c>
      <c r="AG2" s="11" t="s">
        <v>300</v>
      </c>
    </row>
    <row r="3" spans="1:33">
      <c r="A3" s="1" t="s">
        <v>1198</v>
      </c>
      <c r="B3" s="5">
        <v>41204</v>
      </c>
      <c r="C3" s="1" t="s">
        <v>1193</v>
      </c>
      <c r="D3" s="9">
        <v>85600000</v>
      </c>
      <c r="E3" s="1" t="s">
        <v>338</v>
      </c>
      <c r="F3" s="1" t="s">
        <v>5</v>
      </c>
      <c r="G3" s="18">
        <v>100000000</v>
      </c>
      <c r="L3" s="18">
        <v>1000000</v>
      </c>
      <c r="M3" s="3">
        <f>1.89%+O3</f>
        <v>3.5400000000000001E-2</v>
      </c>
      <c r="N3" s="17" t="s">
        <v>335</v>
      </c>
      <c r="O3" s="3">
        <v>1.6500000000000001E-2</v>
      </c>
      <c r="Q3" s="5">
        <v>43031</v>
      </c>
      <c r="R3" s="5"/>
      <c r="S3" s="4">
        <f>(Q3-B3)/365.24</f>
        <v>5.0021903405979629</v>
      </c>
    </row>
    <row r="4" spans="1:33">
      <c r="A4" s="1" t="s">
        <v>1197</v>
      </c>
      <c r="B4" s="5">
        <v>41264</v>
      </c>
      <c r="C4" s="1" t="s">
        <v>1193</v>
      </c>
      <c r="D4" s="9">
        <v>85600000</v>
      </c>
      <c r="E4" s="1" t="s">
        <v>338</v>
      </c>
      <c r="F4" s="1" t="s">
        <v>5</v>
      </c>
      <c r="G4" s="18">
        <v>100000000</v>
      </c>
      <c r="L4" s="18">
        <v>100000</v>
      </c>
      <c r="M4" s="3">
        <f>1.87%+O4</f>
        <v>3.0200000000000001E-2</v>
      </c>
      <c r="N4" s="17" t="s">
        <v>335</v>
      </c>
      <c r="O4" s="3">
        <v>1.15E-2</v>
      </c>
      <c r="Q4" s="5">
        <v>42410</v>
      </c>
      <c r="R4" s="5"/>
      <c r="S4" s="4">
        <f>(Q4-B4)/365.24</f>
        <v>3.1376629065819732</v>
      </c>
    </row>
    <row r="5" spans="1:33">
      <c r="A5" s="1" t="s">
        <v>1196</v>
      </c>
      <c r="B5" s="5">
        <v>41495</v>
      </c>
      <c r="C5" s="1" t="s">
        <v>1193</v>
      </c>
      <c r="D5" s="9">
        <v>93100000</v>
      </c>
      <c r="E5" s="1" t="s">
        <v>338</v>
      </c>
      <c r="F5" s="1" t="s">
        <v>5</v>
      </c>
      <c r="G5" s="18">
        <v>100000000</v>
      </c>
      <c r="L5" s="18">
        <v>1000000</v>
      </c>
      <c r="M5" s="3">
        <f>1.73%+O5</f>
        <v>2.7099999999999999E-2</v>
      </c>
      <c r="N5" s="17" t="s">
        <v>335</v>
      </c>
      <c r="O5" s="3">
        <f>0.98%</f>
        <v>9.7999999999999997E-3</v>
      </c>
      <c r="Q5" s="5">
        <v>42591</v>
      </c>
      <c r="R5" s="5"/>
      <c r="S5" s="4">
        <f>(Q5-B5)/365.24</f>
        <v>3.000766619209287</v>
      </c>
    </row>
    <row r="6" spans="1:33">
      <c r="A6" s="1" t="s">
        <v>1195</v>
      </c>
      <c r="B6" s="5">
        <v>41557</v>
      </c>
      <c r="C6" s="1" t="s">
        <v>1193</v>
      </c>
      <c r="D6" s="9">
        <v>93100000</v>
      </c>
      <c r="E6" s="1" t="s">
        <v>338</v>
      </c>
      <c r="F6" s="1" t="s">
        <v>5</v>
      </c>
      <c r="G6" s="18">
        <v>100000000</v>
      </c>
      <c r="L6" s="18">
        <v>1000000</v>
      </c>
      <c r="M6" s="3">
        <f>1.7%+O6</f>
        <v>2.7500000000000004E-2</v>
      </c>
      <c r="N6" s="17" t="s">
        <v>335</v>
      </c>
      <c r="O6" s="3">
        <v>1.0500000000000001E-2</v>
      </c>
      <c r="Q6" s="5">
        <v>43363</v>
      </c>
      <c r="R6" s="5"/>
      <c r="S6" s="4">
        <f>(Q6-B6)/365.24</f>
        <v>4.9446938999014343</v>
      </c>
    </row>
    <row r="7" spans="1:33">
      <c r="A7" s="1" t="s">
        <v>1194</v>
      </c>
      <c r="B7" s="5">
        <v>41673</v>
      </c>
      <c r="C7" s="1" t="s">
        <v>1193</v>
      </c>
      <c r="D7" s="9">
        <v>101000000</v>
      </c>
      <c r="E7" s="1" t="s">
        <v>338</v>
      </c>
      <c r="F7" s="1" t="s">
        <v>5</v>
      </c>
      <c r="G7" s="18">
        <v>100000000</v>
      </c>
      <c r="L7" s="18">
        <v>1000000</v>
      </c>
      <c r="M7" s="3">
        <f>1.7%+O7</f>
        <v>2.5000000000000001E-2</v>
      </c>
      <c r="N7" s="17" t="s">
        <v>335</v>
      </c>
      <c r="O7" s="3">
        <v>8.0000000000000002E-3</v>
      </c>
      <c r="Q7" s="5">
        <v>42769</v>
      </c>
      <c r="R7" s="5"/>
      <c r="S7" s="4">
        <f>(Q7-B7)/365.24</f>
        <v>3.000766619209287</v>
      </c>
    </row>
    <row r="8" spans="1:33">
      <c r="A8" s="1" t="s">
        <v>1192</v>
      </c>
      <c r="B8" s="5">
        <v>40743</v>
      </c>
      <c r="C8" s="1" t="s">
        <v>1190</v>
      </c>
      <c r="D8" s="9">
        <v>1500000000</v>
      </c>
      <c r="E8" s="1" t="s">
        <v>25</v>
      </c>
      <c r="F8" s="1" t="s">
        <v>17</v>
      </c>
      <c r="G8" s="18">
        <v>300000000</v>
      </c>
      <c r="L8" s="18">
        <v>500000</v>
      </c>
      <c r="M8" s="3">
        <v>5.9499999999999997E-2</v>
      </c>
      <c r="Q8" s="5">
        <v>44396</v>
      </c>
      <c r="R8" s="5"/>
      <c r="S8" s="4">
        <f>(Q8-B8)/365.24</f>
        <v>10.001642755448472</v>
      </c>
    </row>
    <row r="9" spans="1:33">
      <c r="A9" s="1" t="s">
        <v>1191</v>
      </c>
      <c r="B9" s="5">
        <v>41096</v>
      </c>
      <c r="C9" s="1" t="s">
        <v>1190</v>
      </c>
      <c r="D9" s="9">
        <v>2300000000</v>
      </c>
      <c r="E9" s="1" t="s">
        <v>25</v>
      </c>
      <c r="F9" s="1" t="s">
        <v>17</v>
      </c>
      <c r="G9" s="18">
        <v>400000000</v>
      </c>
      <c r="L9" s="18">
        <v>500000</v>
      </c>
      <c r="M9" s="3">
        <v>5.1700000000000003E-2</v>
      </c>
      <c r="Q9" s="5">
        <v>42922</v>
      </c>
      <c r="R9" s="5"/>
      <c r="S9" s="4">
        <f>(Q9-B9)/365.24</f>
        <v>4.9994524148505093</v>
      </c>
    </row>
    <row r="10" spans="1:33">
      <c r="A10" s="1" t="s">
        <v>1189</v>
      </c>
      <c r="B10" s="5">
        <v>40836</v>
      </c>
      <c r="C10" s="1" t="s">
        <v>1186</v>
      </c>
      <c r="D10" s="9">
        <v>50000000</v>
      </c>
      <c r="E10" s="1" t="s">
        <v>338</v>
      </c>
      <c r="F10" s="1" t="s">
        <v>5</v>
      </c>
      <c r="G10" s="18">
        <v>200000000</v>
      </c>
      <c r="L10" s="18">
        <v>500000</v>
      </c>
      <c r="M10" s="3">
        <v>3.1300000000000001E-2</v>
      </c>
      <c r="N10" s="17" t="s">
        <v>335</v>
      </c>
      <c r="O10" s="3">
        <v>1.4999999999999999E-2</v>
      </c>
      <c r="Q10" s="5">
        <v>41932</v>
      </c>
      <c r="R10" s="5"/>
      <c r="S10" s="4">
        <f>(Q10-B10)/365.24</f>
        <v>3.000766619209287</v>
      </c>
    </row>
    <row r="11" spans="1:33">
      <c r="A11" s="1" t="s">
        <v>1188</v>
      </c>
      <c r="B11" s="5">
        <v>41149</v>
      </c>
      <c r="C11" s="1" t="s">
        <v>1186</v>
      </c>
      <c r="D11" s="9">
        <v>52000000</v>
      </c>
      <c r="E11" s="1" t="s">
        <v>338</v>
      </c>
      <c r="F11" s="1" t="s">
        <v>5</v>
      </c>
      <c r="G11" s="18">
        <v>150000000</v>
      </c>
      <c r="L11" s="18">
        <v>500000</v>
      </c>
      <c r="M11" s="3">
        <v>2.0500000000000001E-2</v>
      </c>
      <c r="N11" s="17" t="s">
        <v>335</v>
      </c>
      <c r="O11" s="3">
        <f>1.52%</f>
        <v>1.52E-2</v>
      </c>
      <c r="Q11" s="5">
        <v>42404</v>
      </c>
      <c r="R11" s="5"/>
      <c r="S11" s="4">
        <f>(Q11-B11)/365.24</f>
        <v>3.43609681305443</v>
      </c>
    </row>
    <row r="12" spans="1:33">
      <c r="A12" s="1" t="s">
        <v>1187</v>
      </c>
      <c r="B12" s="5">
        <v>41698</v>
      </c>
      <c r="C12" s="1" t="s">
        <v>1186</v>
      </c>
      <c r="D12" s="9">
        <v>52800000</v>
      </c>
      <c r="E12" s="1" t="s">
        <v>338</v>
      </c>
      <c r="F12" s="1" t="s">
        <v>5</v>
      </c>
      <c r="G12" s="18">
        <v>100000000</v>
      </c>
      <c r="L12" s="18">
        <v>500000</v>
      </c>
      <c r="M12" s="3">
        <f>1.7%+0.62%</f>
        <v>2.3200000000000002E-2</v>
      </c>
      <c r="N12" s="17" t="s">
        <v>335</v>
      </c>
      <c r="O12" s="3">
        <v>6.1999999999999998E-3</v>
      </c>
      <c r="Q12" s="5">
        <v>42794</v>
      </c>
      <c r="R12" s="5"/>
      <c r="S12" s="4">
        <f>(Q12-B12)/365.24</f>
        <v>3.000766619209287</v>
      </c>
    </row>
    <row r="13" spans="1:33">
      <c r="A13" s="1" t="s">
        <v>1185</v>
      </c>
      <c r="B13" s="5">
        <v>41358</v>
      </c>
      <c r="C13" s="1" t="s">
        <v>1183</v>
      </c>
      <c r="D13" s="9">
        <v>102000000</v>
      </c>
      <c r="E13" s="1" t="s">
        <v>338</v>
      </c>
      <c r="F13" s="1" t="s">
        <v>5</v>
      </c>
      <c r="G13" s="18">
        <v>100000000</v>
      </c>
      <c r="L13" s="18">
        <v>500000</v>
      </c>
      <c r="M13" s="3">
        <v>2.52E-2</v>
      </c>
      <c r="N13" s="17" t="s">
        <v>335</v>
      </c>
      <c r="O13" s="3">
        <v>8.6999999999999994E-3</v>
      </c>
      <c r="Q13" s="5">
        <v>42458</v>
      </c>
      <c r="R13" s="5"/>
      <c r="S13" s="4">
        <f>(Q13-B13)/365.24</f>
        <v>3.0117183221991017</v>
      </c>
    </row>
    <row r="14" spans="1:33">
      <c r="A14" s="1" t="s">
        <v>1184</v>
      </c>
      <c r="B14" s="5">
        <v>41620</v>
      </c>
      <c r="C14" s="1" t="s">
        <v>1183</v>
      </c>
      <c r="D14" s="9">
        <v>102000000</v>
      </c>
      <c r="E14" s="1" t="s">
        <v>338</v>
      </c>
      <c r="F14" s="1" t="s">
        <v>5</v>
      </c>
      <c r="G14" s="18">
        <v>30000000</v>
      </c>
      <c r="L14" s="18">
        <v>100000</v>
      </c>
      <c r="M14" s="3">
        <v>3.9399999999999998E-2</v>
      </c>
      <c r="N14" s="17" t="s">
        <v>335</v>
      </c>
      <c r="O14" s="3">
        <v>2.3E-2</v>
      </c>
      <c r="Q14" s="5">
        <v>45272</v>
      </c>
      <c r="R14" s="5"/>
      <c r="S14" s="4">
        <f>(Q14-B14)/365.24</f>
        <v>9.9989048297010186</v>
      </c>
      <c r="V14" s="1" t="s">
        <v>56</v>
      </c>
    </row>
    <row r="15" spans="1:33">
      <c r="A15" s="1" t="s">
        <v>1182</v>
      </c>
      <c r="B15" s="5">
        <v>41087</v>
      </c>
      <c r="C15" s="1" t="s">
        <v>1180</v>
      </c>
      <c r="D15" s="9">
        <v>525000000</v>
      </c>
      <c r="E15" s="1" t="s">
        <v>53</v>
      </c>
      <c r="F15" s="1" t="s">
        <v>5</v>
      </c>
      <c r="G15" s="18">
        <v>142000000</v>
      </c>
      <c r="L15" s="18">
        <v>500000</v>
      </c>
      <c r="M15" s="3">
        <v>0.11650000000000001</v>
      </c>
      <c r="N15" s="17" t="s">
        <v>335</v>
      </c>
      <c r="O15" s="3">
        <v>0.1</v>
      </c>
      <c r="Q15" s="5">
        <v>42182</v>
      </c>
      <c r="R15" s="5"/>
      <c r="S15" s="4">
        <f>(Q15-B15)/365.24</f>
        <v>2.9980286934618334</v>
      </c>
    </row>
    <row r="16" spans="1:33">
      <c r="A16" s="1" t="s">
        <v>1181</v>
      </c>
      <c r="B16" s="5">
        <v>41263</v>
      </c>
      <c r="C16" s="1" t="s">
        <v>1180</v>
      </c>
      <c r="D16" s="9">
        <v>525000000</v>
      </c>
      <c r="E16" s="1" t="s">
        <v>53</v>
      </c>
      <c r="F16" s="1" t="s">
        <v>5</v>
      </c>
      <c r="G16" s="18">
        <v>55000000</v>
      </c>
      <c r="L16" s="18">
        <v>1000000</v>
      </c>
      <c r="M16" s="3">
        <v>0.114</v>
      </c>
      <c r="N16" s="17" t="s">
        <v>335</v>
      </c>
      <c r="O16" s="3">
        <v>0.1</v>
      </c>
      <c r="Q16" s="5">
        <v>42094</v>
      </c>
      <c r="R16" s="5"/>
      <c r="S16" s="4">
        <f>(Q16-B16)/365.24</f>
        <v>2.2752162961340487</v>
      </c>
    </row>
    <row r="17" spans="1:22">
      <c r="A17" s="1" t="s">
        <v>1179</v>
      </c>
      <c r="B17" s="5">
        <v>40648</v>
      </c>
      <c r="C17" s="1" t="s">
        <v>1168</v>
      </c>
      <c r="D17" s="9">
        <v>160000000</v>
      </c>
      <c r="E17" s="1" t="s">
        <v>338</v>
      </c>
      <c r="F17" s="1" t="s">
        <v>5</v>
      </c>
      <c r="G17" s="18">
        <v>200000000</v>
      </c>
      <c r="L17" s="18">
        <v>500000</v>
      </c>
      <c r="M17" s="3">
        <v>3.5299999999999998E-2</v>
      </c>
      <c r="N17" s="17" t="s">
        <v>335</v>
      </c>
      <c r="O17" s="3">
        <v>8.5000000000000006E-3</v>
      </c>
      <c r="Q17" s="5">
        <v>41744</v>
      </c>
      <c r="R17" s="5"/>
      <c r="S17" s="4">
        <f>(Q17-B17)/365.24</f>
        <v>3.000766619209287</v>
      </c>
    </row>
    <row r="18" spans="1:22">
      <c r="A18" s="1" t="s">
        <v>1178</v>
      </c>
      <c r="B18" s="5">
        <v>40961</v>
      </c>
      <c r="C18" s="1" t="s">
        <v>1168</v>
      </c>
      <c r="D18" s="9">
        <v>170000000</v>
      </c>
      <c r="E18" s="1" t="s">
        <v>338</v>
      </c>
      <c r="F18" s="1" t="s">
        <v>5</v>
      </c>
      <c r="G18" s="18">
        <v>300000000</v>
      </c>
      <c r="L18" s="18">
        <v>500000</v>
      </c>
      <c r="M18" s="3">
        <f>2.67%+O18</f>
        <v>3.9800000000000002E-2</v>
      </c>
      <c r="N18" s="17" t="s">
        <v>335</v>
      </c>
      <c r="O18" s="3">
        <v>1.3100000000000001E-2</v>
      </c>
      <c r="Q18" s="5">
        <v>42058</v>
      </c>
      <c r="R18" s="5"/>
      <c r="S18" s="4">
        <f>(Q18-B18)/365.24</f>
        <v>3.0035045449567406</v>
      </c>
    </row>
    <row r="19" spans="1:22">
      <c r="A19" s="1" t="s">
        <v>1177</v>
      </c>
      <c r="B19" s="5">
        <v>41053</v>
      </c>
      <c r="C19" s="1" t="s">
        <v>1168</v>
      </c>
      <c r="D19" s="9">
        <v>170000000</v>
      </c>
      <c r="E19" s="1" t="s">
        <v>338</v>
      </c>
      <c r="F19" s="1" t="s">
        <v>5</v>
      </c>
      <c r="G19" s="18">
        <v>300000000</v>
      </c>
      <c r="L19" s="18">
        <v>500000</v>
      </c>
      <c r="M19" s="3">
        <f>2.33%+O19</f>
        <v>3.7500000000000006E-2</v>
      </c>
      <c r="N19" s="17" t="s">
        <v>335</v>
      </c>
      <c r="O19" s="3">
        <v>1.4200000000000001E-2</v>
      </c>
      <c r="Q19" s="5">
        <v>42332</v>
      </c>
      <c r="R19" s="5"/>
      <c r="S19" s="4">
        <f>(Q19-B19)/365.24</f>
        <v>3.5018070309933194</v>
      </c>
    </row>
    <row r="20" spans="1:22">
      <c r="A20" s="1" t="s">
        <v>1176</v>
      </c>
      <c r="B20" s="5">
        <v>41155</v>
      </c>
      <c r="C20" s="1" t="s">
        <v>1168</v>
      </c>
      <c r="D20" s="9">
        <v>170000000</v>
      </c>
      <c r="E20" s="1" t="s">
        <v>338</v>
      </c>
      <c r="F20" s="1" t="s">
        <v>17</v>
      </c>
      <c r="G20" s="18">
        <v>300000000</v>
      </c>
      <c r="L20" s="18">
        <v>500000</v>
      </c>
      <c r="M20" s="3">
        <v>3.7999999999999999E-2</v>
      </c>
      <c r="Q20" s="5">
        <v>42797</v>
      </c>
      <c r="R20" s="5"/>
      <c r="S20" s="4">
        <f>(Q20-B20)/365.24</f>
        <v>4.4956740773190234</v>
      </c>
    </row>
    <row r="21" spans="1:22">
      <c r="A21" s="1" t="s">
        <v>1175</v>
      </c>
      <c r="B21" s="5">
        <v>41218</v>
      </c>
      <c r="C21" s="1" t="s">
        <v>1168</v>
      </c>
      <c r="D21" s="9">
        <v>170000000</v>
      </c>
      <c r="E21" s="1" t="s">
        <v>338</v>
      </c>
      <c r="F21" s="1" t="s">
        <v>17</v>
      </c>
      <c r="G21" s="18">
        <v>300000000</v>
      </c>
      <c r="L21" s="18">
        <v>100000</v>
      </c>
      <c r="M21" s="3">
        <v>3.5000000000000003E-2</v>
      </c>
      <c r="Q21" s="5">
        <v>42678</v>
      </c>
      <c r="R21" s="5"/>
      <c r="S21" s="4">
        <f>(Q21-B21)/365.24</f>
        <v>3.9973715912824441</v>
      </c>
    </row>
    <row r="22" spans="1:22">
      <c r="A22" s="1" t="s">
        <v>1174</v>
      </c>
      <c r="B22" s="5">
        <v>41222</v>
      </c>
      <c r="C22" s="1" t="s">
        <v>1168</v>
      </c>
      <c r="D22" s="9">
        <v>170000000</v>
      </c>
      <c r="E22" s="1" t="s">
        <v>338</v>
      </c>
      <c r="F22" s="1" t="s">
        <v>5</v>
      </c>
      <c r="G22" s="18">
        <v>300000000</v>
      </c>
      <c r="L22" s="18">
        <v>100000</v>
      </c>
      <c r="M22" s="3">
        <f>1.91%+O22</f>
        <v>3.0599999999999999E-2</v>
      </c>
      <c r="N22" s="17" t="s">
        <v>335</v>
      </c>
      <c r="O22" s="3">
        <v>1.15E-2</v>
      </c>
      <c r="Q22" s="5">
        <v>42471</v>
      </c>
      <c r="R22" s="5"/>
      <c r="S22" s="4">
        <f>(Q22-B22)/365.24</f>
        <v>3.4196692585697077</v>
      </c>
    </row>
    <row r="23" spans="1:22">
      <c r="A23" s="1" t="s">
        <v>1173</v>
      </c>
      <c r="B23" s="5">
        <v>41320</v>
      </c>
      <c r="C23" s="1" t="s">
        <v>1168</v>
      </c>
      <c r="D23" s="9">
        <v>208000000</v>
      </c>
      <c r="E23" s="1" t="s">
        <v>338</v>
      </c>
      <c r="F23" s="1" t="s">
        <v>5</v>
      </c>
      <c r="G23" s="18">
        <v>300000000</v>
      </c>
      <c r="L23" s="18">
        <v>500000</v>
      </c>
      <c r="M23" s="3">
        <f>1.89%+O23</f>
        <v>2.8900000000000002E-2</v>
      </c>
      <c r="N23" s="17" t="s">
        <v>335</v>
      </c>
      <c r="O23" s="3">
        <v>0.01</v>
      </c>
      <c r="Q23" s="5">
        <v>43146</v>
      </c>
      <c r="R23" s="5"/>
      <c r="S23" s="4">
        <f>(Q23-B23)/365.24</f>
        <v>4.9994524148505093</v>
      </c>
    </row>
    <row r="24" spans="1:22">
      <c r="A24" s="1" t="s">
        <v>1172</v>
      </c>
      <c r="B24" s="5">
        <v>41446</v>
      </c>
      <c r="C24" s="1" t="s">
        <v>1168</v>
      </c>
      <c r="D24" s="9">
        <v>208000000</v>
      </c>
      <c r="E24" s="1" t="s">
        <v>338</v>
      </c>
      <c r="F24" s="1" t="s">
        <v>5</v>
      </c>
      <c r="G24" s="18">
        <v>300000000</v>
      </c>
      <c r="L24" s="18">
        <v>1000000</v>
      </c>
      <c r="M24" s="3">
        <f>1.68%+O24</f>
        <v>2.6799999999999997E-2</v>
      </c>
      <c r="N24" s="17" t="s">
        <v>335</v>
      </c>
      <c r="O24" s="3">
        <v>0.01</v>
      </c>
      <c r="Q24" s="5">
        <v>43346</v>
      </c>
      <c r="R24" s="5"/>
      <c r="S24" s="4">
        <f>(Q24-B24)/365.24</f>
        <v>5.2020589201620853</v>
      </c>
    </row>
    <row r="25" spans="1:22">
      <c r="A25" s="1" t="s">
        <v>1171</v>
      </c>
      <c r="B25" s="5">
        <v>41536</v>
      </c>
      <c r="C25" s="1" t="s">
        <v>1168</v>
      </c>
      <c r="D25" s="9">
        <v>208000000</v>
      </c>
      <c r="E25" s="1" t="s">
        <v>338</v>
      </c>
      <c r="F25" s="1" t="s">
        <v>5</v>
      </c>
      <c r="G25" s="18">
        <v>300000000</v>
      </c>
      <c r="L25" s="18">
        <v>1000000</v>
      </c>
      <c r="M25" s="3">
        <f>1.73%+O25</f>
        <v>2.46E-2</v>
      </c>
      <c r="N25" s="17" t="s">
        <v>335</v>
      </c>
      <c r="O25" s="3">
        <v>7.3000000000000001E-3</v>
      </c>
      <c r="Q25" s="5">
        <v>42632</v>
      </c>
      <c r="R25" s="5"/>
      <c r="S25" s="4">
        <f>(Q25-B25)/365.24</f>
        <v>3.000766619209287</v>
      </c>
    </row>
    <row r="26" spans="1:22">
      <c r="A26" s="1" t="s">
        <v>1170</v>
      </c>
      <c r="B26" s="5">
        <v>41662</v>
      </c>
      <c r="C26" s="1" t="s">
        <v>1168</v>
      </c>
      <c r="D26" s="9">
        <v>322000000</v>
      </c>
      <c r="E26" s="1" t="s">
        <v>338</v>
      </c>
      <c r="F26" s="1" t="s">
        <v>5</v>
      </c>
      <c r="G26" s="18">
        <v>300000000</v>
      </c>
      <c r="L26" s="18">
        <v>500000</v>
      </c>
      <c r="M26" s="3">
        <f>1.65%+O26</f>
        <v>2.5000000000000001E-2</v>
      </c>
      <c r="N26" s="17" t="s">
        <v>335</v>
      </c>
      <c r="O26" s="3">
        <v>8.5000000000000006E-3</v>
      </c>
      <c r="Q26" s="5">
        <v>43488</v>
      </c>
      <c r="R26" s="5"/>
      <c r="S26" s="4">
        <f>(Q26-B26)/365.24</f>
        <v>4.9994524148505093</v>
      </c>
    </row>
    <row r="27" spans="1:22">
      <c r="A27" s="1" t="s">
        <v>1169</v>
      </c>
      <c r="B27" s="5">
        <v>41682</v>
      </c>
      <c r="C27" s="1" t="s">
        <v>1168</v>
      </c>
      <c r="D27" s="9">
        <v>322000000</v>
      </c>
      <c r="E27" s="1" t="s">
        <v>338</v>
      </c>
      <c r="F27" s="1" t="s">
        <v>5</v>
      </c>
      <c r="G27" s="18">
        <v>85000000</v>
      </c>
      <c r="L27" s="18">
        <v>100000</v>
      </c>
      <c r="M27" s="3">
        <f>1.7%+O27</f>
        <v>3.5500000000000004E-2</v>
      </c>
      <c r="N27" s="17" t="s">
        <v>335</v>
      </c>
      <c r="O27" s="3">
        <v>1.8499999999999999E-2</v>
      </c>
      <c r="Q27" s="5">
        <v>45334</v>
      </c>
      <c r="R27" s="5"/>
      <c r="S27" s="4">
        <f>(Q27-B27)/365.24</f>
        <v>9.9989048297010186</v>
      </c>
      <c r="V27" s="1" t="s">
        <v>56</v>
      </c>
    </row>
    <row r="28" spans="1:22">
      <c r="A28" s="1" t="s">
        <v>1167</v>
      </c>
      <c r="B28" s="5">
        <v>40946</v>
      </c>
      <c r="C28" s="1" t="s">
        <v>1166</v>
      </c>
      <c r="D28" s="6">
        <v>12100000000</v>
      </c>
      <c r="E28" s="1" t="s">
        <v>29</v>
      </c>
      <c r="F28" s="1" t="s">
        <v>5</v>
      </c>
      <c r="G28" s="18">
        <v>400000000</v>
      </c>
      <c r="L28" s="18">
        <v>500000</v>
      </c>
      <c r="M28" s="3">
        <v>2.6800000000000001E-2</v>
      </c>
      <c r="N28" s="17" t="s">
        <v>335</v>
      </c>
      <c r="O28" s="3">
        <v>0.04</v>
      </c>
      <c r="Q28" s="5">
        <v>42773</v>
      </c>
      <c r="R28" s="5"/>
      <c r="S28" s="4">
        <f>(Q28-B28)/365.24</f>
        <v>5.0021903405979629</v>
      </c>
    </row>
    <row r="29" spans="1:22">
      <c r="A29" s="1" t="s">
        <v>1165</v>
      </c>
      <c r="B29" s="5">
        <v>40710</v>
      </c>
      <c r="C29" s="1" t="s">
        <v>1161</v>
      </c>
      <c r="D29" s="6">
        <v>243000000</v>
      </c>
      <c r="E29" s="1" t="s">
        <v>338</v>
      </c>
      <c r="F29" s="1" t="s">
        <v>5</v>
      </c>
      <c r="G29" s="18">
        <v>300000000</v>
      </c>
      <c r="L29" s="18">
        <v>500000</v>
      </c>
      <c r="M29" s="3">
        <f>2.79%+O29</f>
        <v>4.2900000000000001E-2</v>
      </c>
      <c r="N29" s="17" t="s">
        <v>335</v>
      </c>
      <c r="O29" s="3">
        <v>1.4999999999999999E-2</v>
      </c>
      <c r="Q29" s="5">
        <v>41806</v>
      </c>
      <c r="R29" s="5"/>
      <c r="S29" s="4">
        <f>(Q29-B29)/365.24</f>
        <v>3.000766619209287</v>
      </c>
    </row>
    <row r="30" spans="1:22">
      <c r="A30" s="1" t="s">
        <v>1164</v>
      </c>
      <c r="B30" s="5">
        <v>41417</v>
      </c>
      <c r="C30" s="1" t="s">
        <v>1161</v>
      </c>
      <c r="D30" s="6">
        <v>636000000</v>
      </c>
      <c r="E30" s="1" t="s">
        <v>338</v>
      </c>
      <c r="F30" s="1" t="s">
        <v>5</v>
      </c>
      <c r="G30" s="18">
        <v>300000000</v>
      </c>
      <c r="L30" s="18">
        <v>1000000</v>
      </c>
      <c r="M30" s="3">
        <f>1.75%+O30</f>
        <v>2.6000000000000002E-2</v>
      </c>
      <c r="N30" s="17" t="s">
        <v>335</v>
      </c>
      <c r="O30" s="3">
        <v>8.5000000000000006E-3</v>
      </c>
      <c r="Q30" s="5">
        <v>42513</v>
      </c>
      <c r="R30" s="5"/>
      <c r="S30" s="4">
        <f>(Q30-B30)/365.24</f>
        <v>3.000766619209287</v>
      </c>
    </row>
    <row r="31" spans="1:22">
      <c r="A31" s="1" t="s">
        <v>1163</v>
      </c>
      <c r="B31" s="5">
        <v>41417</v>
      </c>
      <c r="C31" s="1" t="s">
        <v>1161</v>
      </c>
      <c r="D31" s="6">
        <v>636000000</v>
      </c>
      <c r="E31" s="1" t="s">
        <v>338</v>
      </c>
      <c r="F31" s="1" t="s">
        <v>5</v>
      </c>
      <c r="G31" s="18">
        <v>300000000</v>
      </c>
      <c r="L31" s="18">
        <v>1000000</v>
      </c>
      <c r="M31" s="3">
        <f>1.75%+O31</f>
        <v>2.9000000000000001E-2</v>
      </c>
      <c r="N31" s="17" t="s">
        <v>335</v>
      </c>
      <c r="O31" s="3">
        <v>1.15E-2</v>
      </c>
      <c r="Q31" s="5">
        <v>43243</v>
      </c>
      <c r="R31" s="5"/>
      <c r="S31" s="4">
        <f>(Q31-B31)/365.24</f>
        <v>4.9994524148505093</v>
      </c>
    </row>
    <row r="32" spans="1:22">
      <c r="A32" s="1" t="s">
        <v>1162</v>
      </c>
      <c r="B32" s="5">
        <v>41619</v>
      </c>
      <c r="C32" s="1" t="s">
        <v>1161</v>
      </c>
      <c r="D32" s="6">
        <v>636000000</v>
      </c>
      <c r="E32" s="1" t="s">
        <v>338</v>
      </c>
      <c r="F32" s="1" t="s">
        <v>5</v>
      </c>
      <c r="G32" s="18">
        <v>175000000</v>
      </c>
      <c r="L32" s="18">
        <v>100000</v>
      </c>
      <c r="M32" s="3">
        <f>1.65%+O32</f>
        <v>4.2999999999999997E-2</v>
      </c>
      <c r="N32" s="17" t="s">
        <v>335</v>
      </c>
      <c r="O32" s="3">
        <v>2.6499999999999999E-2</v>
      </c>
      <c r="Q32" s="5">
        <v>45271</v>
      </c>
      <c r="R32" s="5"/>
      <c r="S32" s="4">
        <f>(Q32-B32)/365.24</f>
        <v>9.9989048297010186</v>
      </c>
      <c r="V32" s="1" t="s">
        <v>56</v>
      </c>
    </row>
    <row r="33" spans="1:22">
      <c r="A33" s="10" t="s">
        <v>1160</v>
      </c>
      <c r="B33" s="5">
        <v>41460</v>
      </c>
      <c r="C33" s="1" t="s">
        <v>1159</v>
      </c>
      <c r="D33" s="6">
        <v>1700000000</v>
      </c>
      <c r="E33" s="1" t="s">
        <v>53</v>
      </c>
      <c r="F33" s="1" t="s">
        <v>17</v>
      </c>
      <c r="G33" s="18">
        <f>90000000*6</f>
        <v>540000000</v>
      </c>
      <c r="L33" s="18">
        <f>200000*6</f>
        <v>1200000</v>
      </c>
      <c r="M33" s="3">
        <v>7.4999999999999997E-2</v>
      </c>
      <c r="Q33" s="5">
        <v>43286</v>
      </c>
      <c r="R33" s="5"/>
      <c r="S33" s="4">
        <f>(Q33-B33)/365.24</f>
        <v>4.9994524148505093</v>
      </c>
      <c r="V33" s="1" t="s">
        <v>1158</v>
      </c>
    </row>
    <row r="34" spans="1:22">
      <c r="A34" s="1" t="s">
        <v>1157</v>
      </c>
      <c r="B34" s="5">
        <v>41299</v>
      </c>
      <c r="C34" s="1" t="s">
        <v>1151</v>
      </c>
      <c r="D34" s="6">
        <v>109000000</v>
      </c>
      <c r="E34" s="1" t="s">
        <v>338</v>
      </c>
      <c r="F34" s="1" t="s">
        <v>5</v>
      </c>
      <c r="G34" s="18">
        <v>100000000</v>
      </c>
      <c r="L34" s="18">
        <v>1000000</v>
      </c>
      <c r="M34" s="3">
        <f>1.85%+O34</f>
        <v>3.15E-2</v>
      </c>
      <c r="N34" s="17" t="s">
        <v>335</v>
      </c>
      <c r="O34" s="3">
        <v>1.2999999999999999E-2</v>
      </c>
      <c r="Q34" s="5">
        <v>42760</v>
      </c>
      <c r="R34" s="5"/>
      <c r="S34" s="4">
        <f>(Q34-B34)/365.24</f>
        <v>4.0001095170298981</v>
      </c>
    </row>
    <row r="35" spans="1:22">
      <c r="A35" s="1" t="s">
        <v>1156</v>
      </c>
      <c r="B35" s="5">
        <v>41423</v>
      </c>
      <c r="C35" s="1" t="s">
        <v>1151</v>
      </c>
      <c r="D35" s="6">
        <v>109000000</v>
      </c>
      <c r="E35" s="1" t="s">
        <v>338</v>
      </c>
      <c r="F35" s="1" t="s">
        <v>5</v>
      </c>
      <c r="G35" s="18">
        <v>150000000</v>
      </c>
      <c r="L35" s="18">
        <v>1000000</v>
      </c>
      <c r="M35" s="3">
        <f>1.7%+O35</f>
        <v>2.8000000000000001E-2</v>
      </c>
      <c r="N35" s="17" t="s">
        <v>335</v>
      </c>
      <c r="O35" s="3">
        <v>1.0999999999999999E-2</v>
      </c>
      <c r="Q35" s="5">
        <v>43249</v>
      </c>
      <c r="R35" s="5"/>
      <c r="S35" s="4">
        <f>(Q35-B35)/365.24</f>
        <v>4.9994524148505093</v>
      </c>
    </row>
    <row r="36" spans="1:22">
      <c r="A36" s="1" t="s">
        <v>1155</v>
      </c>
      <c r="B36" s="5">
        <v>41543</v>
      </c>
      <c r="C36" s="1" t="s">
        <v>1151</v>
      </c>
      <c r="D36" s="6">
        <v>109000000</v>
      </c>
      <c r="E36" s="1" t="s">
        <v>338</v>
      </c>
      <c r="F36" s="1" t="s">
        <v>5</v>
      </c>
      <c r="G36" s="18">
        <v>150000000</v>
      </c>
      <c r="L36" s="18">
        <v>1000000</v>
      </c>
      <c r="M36" s="3">
        <f>1.68%+O36</f>
        <v>2.52E-2</v>
      </c>
      <c r="N36" s="17" t="s">
        <v>335</v>
      </c>
      <c r="O36" s="3">
        <v>8.3999999999999995E-3</v>
      </c>
      <c r="Q36" s="5">
        <v>42639</v>
      </c>
      <c r="R36" s="5"/>
      <c r="S36" s="4">
        <f>(Q36-B36)/365.24</f>
        <v>3.000766619209287</v>
      </c>
    </row>
    <row r="37" spans="1:22">
      <c r="A37" s="1" t="s">
        <v>1154</v>
      </c>
      <c r="B37" s="5">
        <v>41543</v>
      </c>
      <c r="C37" s="1" t="s">
        <v>1151</v>
      </c>
      <c r="D37" s="6">
        <v>109000000</v>
      </c>
      <c r="E37" s="1" t="s">
        <v>338</v>
      </c>
      <c r="F37" s="1" t="s">
        <v>5</v>
      </c>
      <c r="G37" s="18">
        <v>150000000</v>
      </c>
      <c r="L37" s="18">
        <v>1000000</v>
      </c>
      <c r="M37" s="3">
        <f>1.68%+O37</f>
        <v>2.6599999999999999E-2</v>
      </c>
      <c r="N37" s="17" t="s">
        <v>335</v>
      </c>
      <c r="O37" s="3">
        <v>9.7999999999999997E-3</v>
      </c>
      <c r="Q37" s="5">
        <v>43004</v>
      </c>
      <c r="R37" s="5"/>
      <c r="S37" s="4">
        <f>(Q37-B37)/365.24</f>
        <v>4.0001095170298981</v>
      </c>
    </row>
    <row r="38" spans="1:22">
      <c r="A38" s="1" t="s">
        <v>1153</v>
      </c>
      <c r="B38" s="5">
        <v>41620</v>
      </c>
      <c r="C38" s="1" t="s">
        <v>1151</v>
      </c>
      <c r="D38" s="6">
        <v>109000000</v>
      </c>
      <c r="E38" s="1" t="s">
        <v>338</v>
      </c>
      <c r="F38" s="1" t="s">
        <v>5</v>
      </c>
      <c r="G38" s="18">
        <v>100000000</v>
      </c>
      <c r="L38" s="18">
        <v>1000000</v>
      </c>
      <c r="M38" s="3">
        <f>1.65%+O38</f>
        <v>2.75E-2</v>
      </c>
      <c r="N38" s="17" t="s">
        <v>335</v>
      </c>
      <c r="O38" s="3">
        <v>1.0999999999999999E-2</v>
      </c>
      <c r="Q38" s="5">
        <v>43446</v>
      </c>
      <c r="R38" s="5"/>
      <c r="S38" s="4">
        <f>(Q38-B38)/365.24</f>
        <v>4.9994524148505093</v>
      </c>
    </row>
    <row r="39" spans="1:22">
      <c r="A39" s="1" t="s">
        <v>1152</v>
      </c>
      <c r="B39" s="5">
        <v>41620</v>
      </c>
      <c r="C39" s="1" t="s">
        <v>1151</v>
      </c>
      <c r="D39" s="6">
        <v>109000000</v>
      </c>
      <c r="E39" s="1" t="s">
        <v>338</v>
      </c>
      <c r="F39" s="1" t="s">
        <v>5</v>
      </c>
      <c r="G39" s="18">
        <v>100000000</v>
      </c>
      <c r="L39" s="18">
        <v>1000000</v>
      </c>
      <c r="M39" s="3">
        <f>1.65%+O39</f>
        <v>2.5500000000000002E-2</v>
      </c>
      <c r="N39" s="17" t="s">
        <v>335</v>
      </c>
      <c r="O39" s="3">
        <v>8.9999999999999993E-3</v>
      </c>
      <c r="Q39" s="5">
        <v>42898</v>
      </c>
      <c r="R39" s="5"/>
      <c r="S39" s="4">
        <f>(Q39-B39)/365.24</f>
        <v>3.4990691052458658</v>
      </c>
    </row>
    <row r="40" spans="1:22">
      <c r="A40" s="1" t="s">
        <v>1150</v>
      </c>
      <c r="B40" s="5">
        <v>41618</v>
      </c>
      <c r="C40" s="1" t="s">
        <v>1149</v>
      </c>
      <c r="D40" s="6">
        <f>590000000*6</f>
        <v>3540000000</v>
      </c>
      <c r="E40" s="1" t="s">
        <v>53</v>
      </c>
      <c r="F40" s="1" t="s">
        <v>5</v>
      </c>
      <c r="G40" s="18">
        <v>400000000</v>
      </c>
      <c r="L40" s="18">
        <v>100000</v>
      </c>
      <c r="M40" s="3">
        <v>0.1</v>
      </c>
      <c r="Q40" s="5">
        <v>43809</v>
      </c>
      <c r="R40" s="5"/>
      <c r="S40" s="4">
        <f>(Q40-B40)/365.24</f>
        <v>5.9987953126711204</v>
      </c>
      <c r="V40" s="1" t="s">
        <v>56</v>
      </c>
    </row>
    <row r="41" spans="1:22">
      <c r="A41" s="1" t="s">
        <v>1148</v>
      </c>
      <c r="B41" s="5">
        <v>40844</v>
      </c>
      <c r="C41" s="1" t="s">
        <v>1145</v>
      </c>
      <c r="D41" s="6">
        <v>62000000</v>
      </c>
      <c r="E41" s="1" t="s">
        <v>338</v>
      </c>
      <c r="F41" s="1" t="s">
        <v>5</v>
      </c>
      <c r="G41" s="18">
        <v>150000000</v>
      </c>
      <c r="L41" s="18">
        <v>500000</v>
      </c>
      <c r="M41" s="3">
        <f>3.13%+O41</f>
        <v>4.6300000000000001E-2</v>
      </c>
      <c r="N41" s="17" t="s">
        <v>335</v>
      </c>
      <c r="O41" s="3">
        <v>1.4999999999999999E-2</v>
      </c>
      <c r="Q41" s="5">
        <v>41940</v>
      </c>
      <c r="R41" s="5"/>
      <c r="S41" s="4">
        <f>(Q41-B41)/365.24</f>
        <v>3.000766619209287</v>
      </c>
    </row>
    <row r="42" spans="1:22">
      <c r="A42" s="1" t="s">
        <v>1147</v>
      </c>
      <c r="B42" s="5">
        <v>41051</v>
      </c>
      <c r="C42" s="1" t="s">
        <v>1145</v>
      </c>
      <c r="D42" s="6">
        <v>65000000</v>
      </c>
      <c r="E42" s="1" t="s">
        <v>338</v>
      </c>
      <c r="F42" s="1" t="s">
        <v>5</v>
      </c>
      <c r="G42" s="18">
        <v>150000000</v>
      </c>
      <c r="L42" s="18">
        <v>500000</v>
      </c>
      <c r="M42" s="3">
        <f>2.34%+O42</f>
        <v>3.8899999999999997E-2</v>
      </c>
      <c r="N42" s="17" t="s">
        <v>335</v>
      </c>
      <c r="O42" s="3">
        <v>1.55E-2</v>
      </c>
      <c r="Q42" s="5">
        <v>42512</v>
      </c>
      <c r="R42" s="5"/>
      <c r="S42" s="4">
        <f>(Q42-B42)/365.24</f>
        <v>4.0001095170298981</v>
      </c>
    </row>
    <row r="43" spans="1:22">
      <c r="A43" s="1" t="s">
        <v>1146</v>
      </c>
      <c r="B43" s="5">
        <v>41397</v>
      </c>
      <c r="C43" s="1" t="s">
        <v>1145</v>
      </c>
      <c r="D43" s="6">
        <v>70000000</v>
      </c>
      <c r="E43" s="1" t="s">
        <v>338</v>
      </c>
      <c r="F43" s="1" t="s">
        <v>5</v>
      </c>
      <c r="G43" s="18">
        <v>150000000</v>
      </c>
      <c r="L43" s="18">
        <v>500000</v>
      </c>
      <c r="M43" s="3">
        <f>O43+1.77%</f>
        <v>2.69E-2</v>
      </c>
      <c r="N43" s="17" t="s">
        <v>335</v>
      </c>
      <c r="O43" s="3">
        <v>9.1999999999999998E-3</v>
      </c>
      <c r="Q43" s="5">
        <v>42493</v>
      </c>
      <c r="R43" s="5"/>
      <c r="S43" s="4">
        <f>(Q43-B43)/365.24</f>
        <v>3.000766619209287</v>
      </c>
    </row>
    <row r="44" spans="1:22">
      <c r="A44" s="22" t="s">
        <v>1144</v>
      </c>
      <c r="B44" s="5">
        <v>40973</v>
      </c>
      <c r="C44" s="1" t="s">
        <v>1139</v>
      </c>
      <c r="D44" s="6">
        <v>151000000</v>
      </c>
      <c r="E44" s="1" t="s">
        <v>338</v>
      </c>
      <c r="F44" s="1" t="s">
        <v>5</v>
      </c>
      <c r="G44" s="18">
        <v>200000000</v>
      </c>
      <c r="L44" s="18">
        <v>500000</v>
      </c>
      <c r="M44" s="3">
        <f>2.64%+O44</f>
        <v>3.7600000000000001E-2</v>
      </c>
      <c r="N44" s="17" t="s">
        <v>335</v>
      </c>
      <c r="O44" s="3">
        <v>1.12E-2</v>
      </c>
      <c r="Q44" s="5">
        <v>41764</v>
      </c>
      <c r="R44" s="5"/>
      <c r="S44" s="4">
        <f>(Q44-B44)/365.24</f>
        <v>2.1656992662358996</v>
      </c>
    </row>
    <row r="45" spans="1:22">
      <c r="A45" s="1" t="s">
        <v>1143</v>
      </c>
      <c r="B45" s="5">
        <v>41068</v>
      </c>
      <c r="C45" s="1" t="s">
        <v>1139</v>
      </c>
      <c r="D45" s="6">
        <v>151000000</v>
      </c>
      <c r="E45" s="1" t="s">
        <v>338</v>
      </c>
      <c r="F45" s="1" t="s">
        <v>5</v>
      </c>
      <c r="G45" s="18">
        <v>200000000</v>
      </c>
      <c r="L45" s="18">
        <v>500000</v>
      </c>
      <c r="M45" s="3">
        <f>2.36%+O45</f>
        <v>4.36E-2</v>
      </c>
      <c r="N45" s="17" t="s">
        <v>335</v>
      </c>
      <c r="O45" s="3">
        <v>0.02</v>
      </c>
      <c r="Q45" s="5">
        <v>42529</v>
      </c>
      <c r="R45" s="5"/>
      <c r="S45" s="4">
        <f>(Q45-B45)/365.24</f>
        <v>4.0001095170298981</v>
      </c>
    </row>
    <row r="46" spans="1:22">
      <c r="A46" s="1" t="s">
        <v>1142</v>
      </c>
      <c r="B46" s="5">
        <v>41199</v>
      </c>
      <c r="C46" s="1" t="s">
        <v>1139</v>
      </c>
      <c r="D46" s="6">
        <v>151000000</v>
      </c>
      <c r="E46" s="1" t="s">
        <v>338</v>
      </c>
      <c r="F46" s="1" t="s">
        <v>5</v>
      </c>
      <c r="G46" s="18">
        <v>200000000</v>
      </c>
      <c r="L46" s="18">
        <v>100000</v>
      </c>
      <c r="M46" s="3">
        <f>1.92%+O46</f>
        <v>3.2599999999999997E-2</v>
      </c>
      <c r="N46" s="17" t="s">
        <v>335</v>
      </c>
      <c r="O46" s="3">
        <v>1.34E-2</v>
      </c>
      <c r="Q46" s="5">
        <v>42417</v>
      </c>
      <c r="R46" s="5"/>
      <c r="S46" s="4">
        <f>(Q46-B46)/365.24</f>
        <v>3.3347935603986421</v>
      </c>
    </row>
    <row r="47" spans="1:22">
      <c r="A47" s="1" t="s">
        <v>1141</v>
      </c>
      <c r="B47" s="5">
        <v>41417</v>
      </c>
      <c r="C47" s="1" t="s">
        <v>1139</v>
      </c>
      <c r="D47" s="6">
        <v>158000000</v>
      </c>
      <c r="E47" s="1" t="s">
        <v>338</v>
      </c>
      <c r="F47" s="1" t="s">
        <v>5</v>
      </c>
      <c r="G47" s="18">
        <v>200000000</v>
      </c>
      <c r="L47" s="18">
        <v>500000</v>
      </c>
      <c r="M47" s="3">
        <f>1.75%+O47</f>
        <v>2.7099999999999999E-2</v>
      </c>
      <c r="N47" s="17" t="s">
        <v>335</v>
      </c>
      <c r="O47" s="3">
        <v>9.5999999999999992E-3</v>
      </c>
      <c r="Q47" s="5">
        <v>42817</v>
      </c>
      <c r="R47" s="5"/>
      <c r="S47" s="4">
        <f>(Q47-B47)/365.24</f>
        <v>3.8330960464352204</v>
      </c>
    </row>
    <row r="48" spans="1:22">
      <c r="A48" s="1" t="s">
        <v>1140</v>
      </c>
      <c r="B48" s="5">
        <v>41536</v>
      </c>
      <c r="C48" s="1" t="s">
        <v>1139</v>
      </c>
      <c r="D48" s="6">
        <v>158000000</v>
      </c>
      <c r="E48" s="1" t="s">
        <v>338</v>
      </c>
      <c r="F48" s="1" t="s">
        <v>5</v>
      </c>
      <c r="G48" s="18">
        <v>200000000</v>
      </c>
      <c r="L48" s="18">
        <v>500000</v>
      </c>
      <c r="M48" s="3">
        <v>1.7299999999999999E-2</v>
      </c>
      <c r="N48" s="17" t="s">
        <v>335</v>
      </c>
      <c r="O48" s="3">
        <v>9.4999999999999998E-3</v>
      </c>
      <c r="Q48" s="5">
        <v>42997</v>
      </c>
      <c r="R48" s="5"/>
      <c r="S48" s="4">
        <f>(Q48-B48)/365.24</f>
        <v>4.0001095170298981</v>
      </c>
    </row>
    <row r="49" spans="1:22">
      <c r="A49" s="1" t="s">
        <v>1138</v>
      </c>
      <c r="B49" s="5">
        <v>40555</v>
      </c>
      <c r="C49" s="1" t="s">
        <v>1121</v>
      </c>
      <c r="D49" s="6">
        <v>1500000000</v>
      </c>
      <c r="E49" s="1" t="s">
        <v>338</v>
      </c>
      <c r="F49" s="1" t="s">
        <v>5</v>
      </c>
      <c r="G49" s="18">
        <v>3000000000</v>
      </c>
      <c r="L49" s="18">
        <v>500000</v>
      </c>
      <c r="M49" s="3">
        <f>2.6%+O49</f>
        <v>3.8000000000000006E-2</v>
      </c>
      <c r="N49" s="17" t="s">
        <v>335</v>
      </c>
      <c r="O49" s="3">
        <v>1.2E-2</v>
      </c>
      <c r="Q49" s="5">
        <v>42353</v>
      </c>
      <c r="R49" s="5"/>
      <c r="S49" s="4">
        <f>(Q49-B49)/365.24</f>
        <v>4.9227904939218048</v>
      </c>
    </row>
    <row r="50" spans="1:22">
      <c r="A50" s="1" t="s">
        <v>1137</v>
      </c>
      <c r="B50" s="5">
        <v>40576</v>
      </c>
      <c r="C50" s="1" t="s">
        <v>1121</v>
      </c>
      <c r="D50" s="6">
        <v>1500000000</v>
      </c>
      <c r="E50" s="1" t="s">
        <v>338</v>
      </c>
      <c r="F50" s="1" t="s">
        <v>17</v>
      </c>
      <c r="G50" s="18">
        <v>2000000000</v>
      </c>
      <c r="L50" s="18">
        <v>500000</v>
      </c>
      <c r="M50" s="3">
        <v>5.6000000000000001E-2</v>
      </c>
      <c r="Q50" s="5">
        <v>44180</v>
      </c>
      <c r="R50" s="5"/>
      <c r="S50" s="4">
        <f>(Q50-B50)/365.24</f>
        <v>9.8674843938232399</v>
      </c>
    </row>
    <row r="51" spans="1:22">
      <c r="A51" s="1" t="s">
        <v>1136</v>
      </c>
      <c r="B51" s="5">
        <v>40934</v>
      </c>
      <c r="C51" s="1" t="s">
        <v>1121</v>
      </c>
      <c r="D51" s="6">
        <v>1600000000</v>
      </c>
      <c r="E51" s="1" t="s">
        <v>338</v>
      </c>
      <c r="F51" s="1" t="s">
        <v>5</v>
      </c>
      <c r="G51" s="18">
        <v>3000000000</v>
      </c>
      <c r="L51" s="18">
        <v>500000</v>
      </c>
      <c r="M51" s="3">
        <f>2.74%+O51</f>
        <v>4.24E-2</v>
      </c>
      <c r="N51" s="17" t="s">
        <v>335</v>
      </c>
      <c r="O51" s="3">
        <v>1.4999999999999999E-2</v>
      </c>
      <c r="Q51" s="5">
        <v>42030</v>
      </c>
      <c r="R51" s="5"/>
      <c r="S51" s="4">
        <f>(Q51-B51)/365.24</f>
        <v>3.000766619209287</v>
      </c>
    </row>
    <row r="52" spans="1:22">
      <c r="A52" s="1" t="s">
        <v>1135</v>
      </c>
      <c r="B52" s="5">
        <v>40996</v>
      </c>
      <c r="C52" s="1" t="s">
        <v>1121</v>
      </c>
      <c r="D52" s="6">
        <v>1600000000</v>
      </c>
      <c r="E52" s="1" t="s">
        <v>338</v>
      </c>
      <c r="F52" s="1" t="s">
        <v>5</v>
      </c>
      <c r="G52" s="18">
        <v>2000000000</v>
      </c>
      <c r="L52" s="18">
        <v>500000</v>
      </c>
      <c r="M52" s="3">
        <f>2.24%+O52</f>
        <v>3.9900000000000005E-2</v>
      </c>
      <c r="N52" s="17" t="s">
        <v>335</v>
      </c>
      <c r="O52" s="3">
        <v>1.7500000000000002E-2</v>
      </c>
      <c r="Q52" s="5">
        <v>42809</v>
      </c>
      <c r="R52" s="5"/>
      <c r="S52" s="4">
        <f>(Q52-B52)/365.24</f>
        <v>4.9638593801336111</v>
      </c>
    </row>
    <row r="53" spans="1:22">
      <c r="A53" s="1" t="s">
        <v>1134</v>
      </c>
      <c r="B53" s="5">
        <v>40996</v>
      </c>
      <c r="C53" s="1" t="s">
        <v>1121</v>
      </c>
      <c r="D53" s="6">
        <v>1600000000</v>
      </c>
      <c r="E53" s="1" t="s">
        <v>338</v>
      </c>
      <c r="F53" s="1" t="s">
        <v>17</v>
      </c>
      <c r="G53" s="18">
        <v>2000000000</v>
      </c>
      <c r="L53" s="18">
        <v>500000</v>
      </c>
      <c r="M53" s="3">
        <v>4.8399999999999999E-2</v>
      </c>
      <c r="Q53" s="5">
        <v>42809</v>
      </c>
      <c r="R53" s="5"/>
      <c r="S53" s="4">
        <f>(Q53-B53)/365.24</f>
        <v>4.9638593801336111</v>
      </c>
    </row>
    <row r="54" spans="1:22">
      <c r="A54" s="1" t="s">
        <v>1133</v>
      </c>
      <c r="B54" s="5">
        <v>41088</v>
      </c>
      <c r="C54" s="1" t="s">
        <v>1121</v>
      </c>
      <c r="D54" s="6">
        <v>1600000000</v>
      </c>
      <c r="E54" s="1" t="s">
        <v>338</v>
      </c>
      <c r="F54" s="1" t="s">
        <v>5</v>
      </c>
      <c r="G54" s="18">
        <v>2000000000</v>
      </c>
      <c r="L54" s="18">
        <v>500000</v>
      </c>
      <c r="M54" s="3">
        <f>2.31%+O54</f>
        <v>4.5600000000000002E-2</v>
      </c>
      <c r="N54" s="17" t="s">
        <v>335</v>
      </c>
      <c r="O54" s="3">
        <v>2.2499999999999999E-2</v>
      </c>
      <c r="Q54" s="5">
        <v>44740</v>
      </c>
      <c r="R54" s="5"/>
      <c r="S54" s="4">
        <f>(Q54-B54)/365.24</f>
        <v>9.9989048297010186</v>
      </c>
    </row>
    <row r="55" spans="1:22">
      <c r="A55" s="1" t="s">
        <v>1132</v>
      </c>
      <c r="B55" s="5">
        <v>41143</v>
      </c>
      <c r="C55" s="1" t="s">
        <v>1121</v>
      </c>
      <c r="D55" s="6">
        <v>1600000000</v>
      </c>
      <c r="E55" s="1" t="s">
        <v>338</v>
      </c>
      <c r="F55" s="1" t="s">
        <v>17</v>
      </c>
      <c r="G55" s="18">
        <v>3000000000</v>
      </c>
      <c r="L55" s="18">
        <v>500000</v>
      </c>
      <c r="M55" s="3">
        <v>4.4999999999999998E-2</v>
      </c>
      <c r="Q55" s="5">
        <v>43334</v>
      </c>
      <c r="R55" s="5"/>
      <c r="S55" s="4">
        <f>(Q55-B55)/365.24</f>
        <v>5.9987953126711204</v>
      </c>
    </row>
    <row r="56" spans="1:22">
      <c r="A56" s="1" t="s">
        <v>1131</v>
      </c>
      <c r="B56" s="5">
        <v>41255</v>
      </c>
      <c r="C56" s="1" t="s">
        <v>1121</v>
      </c>
      <c r="D56" s="6">
        <v>1600000000</v>
      </c>
      <c r="E56" s="1" t="s">
        <v>338</v>
      </c>
      <c r="F56" s="1" t="s">
        <v>5</v>
      </c>
      <c r="G56" s="18">
        <v>300000000</v>
      </c>
      <c r="L56" s="18">
        <v>100000</v>
      </c>
      <c r="M56" s="3">
        <f>1.87%+O56</f>
        <v>4.87E-2</v>
      </c>
      <c r="N56" s="17" t="s">
        <v>335</v>
      </c>
      <c r="O56" s="3">
        <v>0.03</v>
      </c>
      <c r="Q56" s="5">
        <v>44907</v>
      </c>
      <c r="R56" s="5"/>
      <c r="S56" s="4">
        <f>(Q56-B56)/365.24</f>
        <v>9.9989048297010186</v>
      </c>
      <c r="V56" s="1" t="s">
        <v>56</v>
      </c>
    </row>
    <row r="57" spans="1:22">
      <c r="A57" s="1" t="s">
        <v>1130</v>
      </c>
      <c r="B57" s="5">
        <v>41271</v>
      </c>
      <c r="C57" s="1" t="s">
        <v>1121</v>
      </c>
      <c r="D57" s="6">
        <v>1600000000</v>
      </c>
      <c r="E57" s="1" t="s">
        <v>338</v>
      </c>
      <c r="F57" s="1" t="s">
        <v>17</v>
      </c>
      <c r="G57" s="18">
        <v>3000000000</v>
      </c>
      <c r="L57" s="18">
        <v>1000000</v>
      </c>
      <c r="M57" s="3">
        <v>4.3400000000000001E-2</v>
      </c>
      <c r="Q57" s="5">
        <v>44270</v>
      </c>
      <c r="R57" s="5"/>
      <c r="S57" s="4">
        <f>(Q57-B57)/365.24</f>
        <v>8.2110393166137339</v>
      </c>
    </row>
    <row r="58" spans="1:22">
      <c r="A58" s="1" t="s">
        <v>1129</v>
      </c>
      <c r="B58" s="5">
        <v>41303</v>
      </c>
      <c r="C58" s="1" t="s">
        <v>1121</v>
      </c>
      <c r="D58" s="6">
        <v>1600000000</v>
      </c>
      <c r="E58" s="1" t="s">
        <v>338</v>
      </c>
      <c r="F58" s="1" t="s">
        <v>5</v>
      </c>
      <c r="G58" s="18">
        <v>3000000000</v>
      </c>
      <c r="L58" s="18">
        <v>1000000</v>
      </c>
      <c r="M58" s="3">
        <f>O58+1.88%</f>
        <v>2.9599999999999998E-2</v>
      </c>
      <c r="N58" s="17" t="s">
        <v>335</v>
      </c>
      <c r="O58" s="3">
        <v>1.0800000000000001E-2</v>
      </c>
      <c r="Q58" s="5">
        <v>43129</v>
      </c>
      <c r="R58" s="5"/>
      <c r="S58" s="4">
        <f>(Q58-B58)/365.24</f>
        <v>4.9994524148505093</v>
      </c>
    </row>
    <row r="59" spans="1:22">
      <c r="A59" s="1" t="s">
        <v>1128</v>
      </c>
      <c r="B59" s="5">
        <v>41311</v>
      </c>
      <c r="C59" s="1" t="s">
        <v>1121</v>
      </c>
      <c r="D59" s="6">
        <v>1600000000</v>
      </c>
      <c r="E59" s="1" t="s">
        <v>338</v>
      </c>
      <c r="F59" s="1" t="s">
        <v>17</v>
      </c>
      <c r="G59" s="18">
        <v>3000000000</v>
      </c>
      <c r="L59" s="18">
        <v>500000</v>
      </c>
      <c r="M59" s="3">
        <v>3.6999999999999998E-2</v>
      </c>
      <c r="Q59" s="5">
        <v>43137</v>
      </c>
      <c r="R59" s="5"/>
      <c r="S59" s="4">
        <f>(Q59-B59)/365.24</f>
        <v>4.9994524148505093</v>
      </c>
    </row>
    <row r="60" spans="1:22">
      <c r="A60" s="1" t="s">
        <v>1127</v>
      </c>
      <c r="B60" s="5">
        <v>41340</v>
      </c>
      <c r="C60" s="1" t="s">
        <v>1121</v>
      </c>
      <c r="D60" s="6">
        <v>1600000000</v>
      </c>
      <c r="E60" s="1" t="s">
        <v>338</v>
      </c>
      <c r="F60" s="1" t="s">
        <v>5</v>
      </c>
      <c r="G60" s="18">
        <v>3000000000</v>
      </c>
      <c r="L60" s="18">
        <v>1000000</v>
      </c>
      <c r="M60" s="3">
        <f>O60+1.85%</f>
        <v>2.6300000000000004E-2</v>
      </c>
      <c r="N60" s="17" t="s">
        <v>335</v>
      </c>
      <c r="O60" s="3">
        <v>7.7999999999999996E-3</v>
      </c>
      <c r="Q60" s="5">
        <v>42436</v>
      </c>
      <c r="R60" s="5"/>
      <c r="S60" s="4">
        <f>(Q60-B60)/365.24</f>
        <v>3.000766619209287</v>
      </c>
    </row>
    <row r="61" spans="1:22">
      <c r="A61" s="1" t="s">
        <v>1126</v>
      </c>
      <c r="B61" s="5">
        <v>41415</v>
      </c>
      <c r="C61" s="1" t="s">
        <v>1121</v>
      </c>
      <c r="D61" s="6">
        <v>1600000000</v>
      </c>
      <c r="E61" s="1" t="s">
        <v>338</v>
      </c>
      <c r="F61" s="1" t="s">
        <v>5</v>
      </c>
      <c r="G61" s="18">
        <v>3000000000</v>
      </c>
      <c r="L61" s="18">
        <v>1000000</v>
      </c>
      <c r="M61" s="3">
        <f>O61+1.74%</f>
        <v>2.69E-2</v>
      </c>
      <c r="N61" s="17" t="s">
        <v>335</v>
      </c>
      <c r="O61" s="3">
        <v>9.4999999999999998E-3</v>
      </c>
      <c r="Q61" s="5">
        <v>43242</v>
      </c>
      <c r="R61" s="5"/>
      <c r="S61" s="4">
        <f>(Q61-B61)/365.24</f>
        <v>5.0021903405979629</v>
      </c>
    </row>
    <row r="62" spans="1:22">
      <c r="A62" s="1" t="s">
        <v>1125</v>
      </c>
      <c r="B62" s="5">
        <v>41649</v>
      </c>
      <c r="C62" s="1" t="s">
        <v>1121</v>
      </c>
      <c r="D62" s="6">
        <v>1600000000</v>
      </c>
      <c r="E62" s="1" t="s">
        <v>338</v>
      </c>
      <c r="F62" s="1" t="s">
        <v>5</v>
      </c>
      <c r="G62" s="18">
        <v>3000000000</v>
      </c>
      <c r="L62" s="18">
        <v>1000000</v>
      </c>
      <c r="M62" s="3">
        <f>O62+1.65%</f>
        <v>2.5300000000000003E-2</v>
      </c>
      <c r="N62" s="17" t="s">
        <v>335</v>
      </c>
      <c r="O62" s="3">
        <v>8.8000000000000005E-3</v>
      </c>
      <c r="Q62" s="5">
        <v>43322</v>
      </c>
      <c r="R62" s="5"/>
      <c r="S62" s="4">
        <f>(Q62-B62)/365.24</f>
        <v>4.5805497754900886</v>
      </c>
    </row>
    <row r="63" spans="1:22">
      <c r="A63" s="1" t="s">
        <v>1124</v>
      </c>
      <c r="B63" s="5">
        <v>41656</v>
      </c>
      <c r="C63" s="1" t="s">
        <v>1121</v>
      </c>
      <c r="D63" s="6">
        <v>1600000000</v>
      </c>
      <c r="E63" s="1" t="s">
        <v>338</v>
      </c>
      <c r="F63" s="1" t="s">
        <v>17</v>
      </c>
      <c r="G63" s="18">
        <v>3000000000</v>
      </c>
      <c r="L63" s="18">
        <v>1000000</v>
      </c>
      <c r="M63" s="3">
        <v>3.3000000000000002E-2</v>
      </c>
      <c r="Q63" s="5">
        <v>43482</v>
      </c>
      <c r="R63" s="5"/>
      <c r="S63" s="4">
        <f>(Q63-B63)/365.24</f>
        <v>4.9994524148505093</v>
      </c>
    </row>
    <row r="64" spans="1:22">
      <c r="A64" s="1" t="s">
        <v>1123</v>
      </c>
      <c r="B64" s="5">
        <v>41659</v>
      </c>
      <c r="C64" s="1" t="s">
        <v>1121</v>
      </c>
      <c r="D64" s="6">
        <v>1600000000</v>
      </c>
      <c r="E64" s="1" t="s">
        <v>338</v>
      </c>
      <c r="F64" s="1" t="s">
        <v>17</v>
      </c>
      <c r="G64" s="18">
        <v>3000000000</v>
      </c>
      <c r="L64" s="18">
        <v>1000000</v>
      </c>
      <c r="M64" s="3">
        <v>3.5000000000000003E-2</v>
      </c>
      <c r="Q64" s="5">
        <v>43850</v>
      </c>
      <c r="R64" s="5"/>
      <c r="S64" s="4">
        <f>(Q64-B64)/365.24</f>
        <v>5.9987953126711204</v>
      </c>
    </row>
    <row r="65" spans="1:22">
      <c r="A65" s="1" t="s">
        <v>1122</v>
      </c>
      <c r="B65" s="5">
        <v>41663</v>
      </c>
      <c r="C65" s="1" t="s">
        <v>1121</v>
      </c>
      <c r="D65" s="6">
        <v>1600000000</v>
      </c>
      <c r="E65" s="1" t="s">
        <v>338</v>
      </c>
      <c r="F65" s="1" t="s">
        <v>5</v>
      </c>
      <c r="G65" s="18">
        <v>3000000000</v>
      </c>
      <c r="L65" s="18">
        <v>1000000</v>
      </c>
      <c r="M65" s="3">
        <f>O65+1.64%</f>
        <v>2.4799999999999996E-2</v>
      </c>
      <c r="N65" s="17" t="s">
        <v>335</v>
      </c>
      <c r="O65" s="3">
        <v>8.3999999999999995E-3</v>
      </c>
      <c r="Q65" s="5">
        <v>43489</v>
      </c>
      <c r="R65" s="5"/>
      <c r="S65" s="4">
        <f>(Q65-B65)/365.24</f>
        <v>4.9994524148505093</v>
      </c>
    </row>
    <row r="66" spans="1:22">
      <c r="A66" s="1" t="s">
        <v>1120</v>
      </c>
      <c r="B66" s="5">
        <v>41080</v>
      </c>
      <c r="C66" s="1" t="s">
        <v>1119</v>
      </c>
      <c r="D66" s="6">
        <v>250000000</v>
      </c>
      <c r="E66" s="1" t="s">
        <v>338</v>
      </c>
      <c r="F66" s="1" t="s">
        <v>17</v>
      </c>
      <c r="G66" s="18">
        <v>3000000000</v>
      </c>
      <c r="L66" s="18">
        <v>500000</v>
      </c>
      <c r="M66" s="3">
        <v>4.8000000000000001E-2</v>
      </c>
      <c r="Q66" s="5">
        <v>42906</v>
      </c>
      <c r="R66" s="5"/>
      <c r="S66" s="4">
        <f>(Q66-B66)/365.24</f>
        <v>4.9994524148505093</v>
      </c>
    </row>
    <row r="67" spans="1:22">
      <c r="A67" s="1" t="s">
        <v>1118</v>
      </c>
      <c r="B67" s="5">
        <v>41264</v>
      </c>
      <c r="C67" s="1" t="s">
        <v>1117</v>
      </c>
      <c r="D67" s="6">
        <v>370000000</v>
      </c>
      <c r="E67" s="1" t="s">
        <v>53</v>
      </c>
      <c r="F67" s="1" t="s">
        <v>5</v>
      </c>
      <c r="G67" s="18">
        <v>200000000</v>
      </c>
      <c r="L67" s="18">
        <v>100000</v>
      </c>
      <c r="M67" s="3">
        <f>O67+1.87%</f>
        <v>8.6199999999999999E-2</v>
      </c>
      <c r="N67" s="17" t="s">
        <v>335</v>
      </c>
      <c r="O67" s="3">
        <v>6.7500000000000004E-2</v>
      </c>
      <c r="Q67" s="5">
        <v>42094</v>
      </c>
      <c r="R67" s="5"/>
      <c r="S67" s="4">
        <f>(Q67-B67)/365.24</f>
        <v>2.2724783703865952</v>
      </c>
    </row>
    <row r="68" spans="1:22">
      <c r="A68" s="1" t="s">
        <v>1116</v>
      </c>
      <c r="B68" s="5">
        <v>41383</v>
      </c>
      <c r="C68" s="1" t="s">
        <v>1115</v>
      </c>
      <c r="D68" s="6">
        <v>121000000</v>
      </c>
      <c r="E68" s="1" t="s">
        <v>53</v>
      </c>
      <c r="F68" s="1" t="s">
        <v>33</v>
      </c>
      <c r="G68" s="18">
        <v>400000000</v>
      </c>
      <c r="L68" s="18">
        <v>1</v>
      </c>
      <c r="M68" s="3">
        <f>O68+1.7%</f>
        <v>7.2000000000000008E-2</v>
      </c>
      <c r="N68" s="17" t="s">
        <v>335</v>
      </c>
      <c r="O68" s="3">
        <v>5.5E-2</v>
      </c>
      <c r="Q68" s="5">
        <v>43209</v>
      </c>
      <c r="R68" s="5"/>
      <c r="S68" s="4">
        <f>(Q68-B68)/365.24</f>
        <v>4.9994524148505093</v>
      </c>
      <c r="V68" s="1" t="s">
        <v>56</v>
      </c>
    </row>
    <row r="69" spans="1:22">
      <c r="A69" s="1" t="s">
        <v>1114</v>
      </c>
      <c r="B69" s="5">
        <v>41051</v>
      </c>
      <c r="C69" s="29" t="s">
        <v>1113</v>
      </c>
      <c r="D69" s="6">
        <v>11000000</v>
      </c>
      <c r="E69" s="1" t="s">
        <v>341</v>
      </c>
      <c r="F69" s="1" t="s">
        <v>17</v>
      </c>
      <c r="G69" s="18">
        <v>100000000</v>
      </c>
      <c r="L69" s="18">
        <v>1</v>
      </c>
      <c r="M69" s="3">
        <v>0.1</v>
      </c>
      <c r="Q69" s="5">
        <v>42177</v>
      </c>
      <c r="R69" s="5"/>
      <c r="S69" s="4">
        <f>(Q69-B69)/365.24</f>
        <v>3.0829043916328986</v>
      </c>
      <c r="V69" s="1" t="s">
        <v>28</v>
      </c>
    </row>
    <row r="70" spans="1:22">
      <c r="A70" s="1" t="s">
        <v>1112</v>
      </c>
      <c r="B70" s="5">
        <v>40716</v>
      </c>
      <c r="C70" s="1" t="s">
        <v>1101</v>
      </c>
      <c r="D70" s="6">
        <v>1000000000</v>
      </c>
      <c r="E70" s="1" t="s">
        <v>338</v>
      </c>
      <c r="F70" s="1" t="s">
        <v>17</v>
      </c>
      <c r="G70" s="18">
        <v>500000000</v>
      </c>
      <c r="L70" s="18">
        <v>500000</v>
      </c>
      <c r="M70" s="3">
        <v>4.9500000000000002E-2</v>
      </c>
      <c r="Q70" s="5">
        <v>42543</v>
      </c>
      <c r="R70" s="5"/>
      <c r="S70" s="4">
        <f>(Q70-B70)/365.24</f>
        <v>5.0021903405979629</v>
      </c>
    </row>
    <row r="71" spans="1:22">
      <c r="A71" s="1" t="s">
        <v>1111</v>
      </c>
      <c r="B71" s="5">
        <v>40983</v>
      </c>
      <c r="C71" s="1" t="s">
        <v>1101</v>
      </c>
      <c r="D71" s="6">
        <v>1100000000</v>
      </c>
      <c r="E71" s="1" t="s">
        <v>338</v>
      </c>
      <c r="F71" s="1" t="s">
        <v>5</v>
      </c>
      <c r="G71" s="18">
        <v>600000000</v>
      </c>
      <c r="L71" s="18">
        <v>500000</v>
      </c>
      <c r="M71" s="3">
        <f>O71+2.33%</f>
        <v>4.0300000000000002E-2</v>
      </c>
      <c r="N71" s="17" t="s">
        <v>335</v>
      </c>
      <c r="O71" s="3">
        <v>1.7000000000000001E-2</v>
      </c>
      <c r="Q71" s="5">
        <v>42809</v>
      </c>
      <c r="R71" s="5"/>
      <c r="S71" s="4">
        <f>(Q71-B71)/365.24</f>
        <v>4.9994524148505093</v>
      </c>
    </row>
    <row r="72" spans="1:22">
      <c r="A72" s="1" t="s">
        <v>1110</v>
      </c>
      <c r="B72" s="5">
        <v>41106</v>
      </c>
      <c r="C72" s="1" t="s">
        <v>1101</v>
      </c>
      <c r="D72" s="6">
        <v>1100000000</v>
      </c>
      <c r="E72" s="1" t="s">
        <v>338</v>
      </c>
      <c r="F72" s="1" t="s">
        <v>5</v>
      </c>
      <c r="G72" s="18">
        <v>600000000</v>
      </c>
      <c r="L72" s="18">
        <v>500000</v>
      </c>
      <c r="M72" s="3">
        <f>O72+2.25%</f>
        <v>3.7499999999999999E-2</v>
      </c>
      <c r="N72" s="17" t="s">
        <v>335</v>
      </c>
      <c r="O72" s="3">
        <v>1.4999999999999999E-2</v>
      </c>
      <c r="Q72" s="5">
        <v>42629</v>
      </c>
      <c r="R72" s="5"/>
      <c r="S72" s="4">
        <f>(Q72-B72)/365.24</f>
        <v>4.1698609133720295</v>
      </c>
    </row>
    <row r="73" spans="1:22">
      <c r="A73" s="1" t="s">
        <v>1109</v>
      </c>
      <c r="B73" s="5">
        <v>41150</v>
      </c>
      <c r="C73" s="1" t="s">
        <v>1101</v>
      </c>
      <c r="D73" s="6">
        <v>1100000000</v>
      </c>
      <c r="E73" s="1" t="s">
        <v>338</v>
      </c>
      <c r="F73" s="1" t="s">
        <v>17</v>
      </c>
      <c r="G73" s="18">
        <v>600000000</v>
      </c>
      <c r="L73" s="18">
        <v>500000</v>
      </c>
      <c r="M73" s="3">
        <v>4.3499999999999997E-2</v>
      </c>
      <c r="Q73" s="5">
        <v>43341</v>
      </c>
      <c r="R73" s="5"/>
      <c r="S73" s="4">
        <f>(Q73-B73)/365.24</f>
        <v>5.9987953126711204</v>
      </c>
    </row>
    <row r="74" spans="1:22">
      <c r="A74" s="1" t="s">
        <v>1108</v>
      </c>
      <c r="B74" s="5">
        <v>41296</v>
      </c>
      <c r="C74" s="1" t="s">
        <v>1101</v>
      </c>
      <c r="D74" s="6">
        <v>1100000000</v>
      </c>
      <c r="E74" s="1" t="s">
        <v>338</v>
      </c>
      <c r="F74" s="1" t="s">
        <v>5</v>
      </c>
      <c r="G74" s="18">
        <v>600000000</v>
      </c>
      <c r="L74" s="18">
        <v>1000000</v>
      </c>
      <c r="M74" s="3">
        <f>O74+1.83%</f>
        <v>2.93E-2</v>
      </c>
      <c r="N74" s="17" t="s">
        <v>335</v>
      </c>
      <c r="O74" s="3">
        <v>1.0999999999999999E-2</v>
      </c>
      <c r="Q74" s="5">
        <v>43164</v>
      </c>
      <c r="R74" s="5"/>
      <c r="S74" s="4">
        <f>(Q74-B74)/365.24</f>
        <v>5.1144452962435656</v>
      </c>
    </row>
    <row r="75" spans="1:22">
      <c r="A75" s="1" t="s">
        <v>1107</v>
      </c>
      <c r="B75" s="5">
        <v>41318</v>
      </c>
      <c r="C75" s="1" t="s">
        <v>1101</v>
      </c>
      <c r="D75" s="6">
        <v>1100000000</v>
      </c>
      <c r="E75" s="1" t="s">
        <v>338</v>
      </c>
      <c r="F75" s="1" t="s">
        <v>17</v>
      </c>
      <c r="G75" s="18">
        <v>750000000</v>
      </c>
      <c r="L75" s="18">
        <v>100000</v>
      </c>
      <c r="M75" s="3">
        <v>3.6499999999999998E-2</v>
      </c>
      <c r="Q75" s="5">
        <v>43509</v>
      </c>
      <c r="R75" s="5"/>
      <c r="S75" s="4">
        <f>(Q75-B75)/365.24</f>
        <v>5.9987953126711204</v>
      </c>
    </row>
    <row r="76" spans="1:22">
      <c r="A76" s="1" t="s">
        <v>1106</v>
      </c>
      <c r="B76" s="5">
        <v>41320</v>
      </c>
      <c r="C76" s="1" t="s">
        <v>1101</v>
      </c>
      <c r="D76" s="6">
        <v>1100000000</v>
      </c>
      <c r="E76" s="1" t="s">
        <v>338</v>
      </c>
      <c r="F76" s="1" t="s">
        <v>5</v>
      </c>
      <c r="G76" s="18">
        <v>600000000</v>
      </c>
      <c r="L76" s="18">
        <v>500000</v>
      </c>
      <c r="M76" s="3">
        <f>O76+1.89%</f>
        <v>2.58E-2</v>
      </c>
      <c r="N76" s="17" t="s">
        <v>335</v>
      </c>
      <c r="O76" s="3">
        <v>6.8999999999999999E-3</v>
      </c>
      <c r="Q76" s="5">
        <v>42415</v>
      </c>
      <c r="R76" s="5"/>
      <c r="S76" s="4">
        <f>(Q76-B76)/365.24</f>
        <v>2.9980286934618334</v>
      </c>
    </row>
    <row r="77" spans="1:22">
      <c r="A77" s="1" t="s">
        <v>1105</v>
      </c>
      <c r="B77" s="5">
        <v>41368</v>
      </c>
      <c r="C77" s="1" t="s">
        <v>1101</v>
      </c>
      <c r="D77" s="6">
        <v>1100000000</v>
      </c>
      <c r="E77" s="1" t="s">
        <v>338</v>
      </c>
      <c r="F77" s="1" t="s">
        <v>17</v>
      </c>
      <c r="G77" s="18">
        <v>750000000</v>
      </c>
      <c r="L77" s="18">
        <v>500000</v>
      </c>
      <c r="M77" s="3">
        <v>4.0800000000000003E-2</v>
      </c>
      <c r="Q77" s="5">
        <v>44655</v>
      </c>
      <c r="R77" s="5"/>
      <c r="S77" s="4">
        <f>(Q77-B77)/365.24</f>
        <v>8.9995619318804074</v>
      </c>
    </row>
    <row r="78" spans="1:22">
      <c r="A78" s="1" t="s">
        <v>1104</v>
      </c>
      <c r="B78" s="5">
        <v>41416</v>
      </c>
      <c r="C78" s="1" t="s">
        <v>1101</v>
      </c>
      <c r="D78" s="6">
        <v>1100000000</v>
      </c>
      <c r="E78" s="1" t="s">
        <v>338</v>
      </c>
      <c r="F78" s="1" t="s">
        <v>5</v>
      </c>
      <c r="G78" s="18">
        <v>750000000</v>
      </c>
      <c r="L78" s="18">
        <v>1000000</v>
      </c>
      <c r="M78" s="3">
        <f>O78+1.75%</f>
        <v>2.6500000000000003E-2</v>
      </c>
      <c r="N78" s="17" t="s">
        <v>335</v>
      </c>
      <c r="O78" s="3">
        <v>8.9999999999999993E-3</v>
      </c>
      <c r="Q78" s="5">
        <v>43791</v>
      </c>
      <c r="R78" s="5"/>
      <c r="S78" s="4">
        <f>(Q78-B78)/365.24</f>
        <v>6.5025736502026064</v>
      </c>
    </row>
    <row r="79" spans="1:22">
      <c r="A79" s="1" t="s">
        <v>1103</v>
      </c>
      <c r="B79" s="5">
        <v>41529</v>
      </c>
      <c r="C79" s="1" t="s">
        <v>1101</v>
      </c>
      <c r="D79" s="6">
        <v>1100000000</v>
      </c>
      <c r="E79" s="1" t="s">
        <v>338</v>
      </c>
      <c r="F79" s="1" t="s">
        <v>33</v>
      </c>
      <c r="G79" s="18">
        <v>300000000</v>
      </c>
      <c r="L79" s="18">
        <v>100000</v>
      </c>
      <c r="M79" s="3">
        <f>O79+1.75%</f>
        <v>5.4300000000000001E-2</v>
      </c>
      <c r="N79" s="17" t="s">
        <v>335</v>
      </c>
      <c r="O79" s="3">
        <v>3.6799999999999999E-2</v>
      </c>
      <c r="Q79" s="5">
        <v>45181</v>
      </c>
      <c r="R79" s="5"/>
      <c r="S79" s="4">
        <f>(Q79-B79)/365.24</f>
        <v>9.9989048297010186</v>
      </c>
      <c r="V79" s="1" t="s">
        <v>56</v>
      </c>
    </row>
    <row r="80" spans="1:22">
      <c r="A80" s="1" t="s">
        <v>1102</v>
      </c>
      <c r="B80" s="5">
        <v>41621</v>
      </c>
      <c r="C80" s="1" t="s">
        <v>1101</v>
      </c>
      <c r="D80" s="6">
        <v>1100000000</v>
      </c>
      <c r="E80" s="1" t="s">
        <v>338</v>
      </c>
      <c r="F80" s="1" t="s">
        <v>17</v>
      </c>
      <c r="G80" s="18">
        <v>750000000</v>
      </c>
      <c r="L80" s="18">
        <v>500000</v>
      </c>
      <c r="M80" s="3">
        <v>3.4500000000000003E-2</v>
      </c>
      <c r="Q80" s="5">
        <v>43812</v>
      </c>
      <c r="R80" s="5"/>
      <c r="S80" s="4">
        <f>(Q80-B80)/365.24</f>
        <v>5.9987953126711204</v>
      </c>
    </row>
    <row r="81" spans="1:22">
      <c r="A81" s="1" t="s">
        <v>1100</v>
      </c>
      <c r="B81" s="5">
        <v>41353</v>
      </c>
      <c r="C81" s="1" t="s">
        <v>1099</v>
      </c>
      <c r="D81" s="6">
        <v>2300000000</v>
      </c>
      <c r="E81" s="1" t="s">
        <v>341</v>
      </c>
      <c r="F81" s="1" t="s">
        <v>5</v>
      </c>
      <c r="G81" s="18" t="s">
        <v>1098</v>
      </c>
      <c r="L81" s="18">
        <v>1000000</v>
      </c>
      <c r="M81" s="3">
        <f>O81+1.25%</f>
        <v>7.0000000000000007E-2</v>
      </c>
      <c r="N81" s="17" t="s">
        <v>335</v>
      </c>
      <c r="O81" s="3">
        <v>5.7500000000000002E-2</v>
      </c>
      <c r="Q81" s="5">
        <v>43179</v>
      </c>
      <c r="R81" s="5"/>
      <c r="S81" s="4">
        <f>(Q81-B81)/365.24</f>
        <v>4.9994524148505093</v>
      </c>
    </row>
    <row r="82" spans="1:22">
      <c r="A82" s="10" t="s">
        <v>1097</v>
      </c>
      <c r="B82" s="5">
        <v>41170</v>
      </c>
      <c r="C82" s="1" t="s">
        <v>1096</v>
      </c>
      <c r="D82" s="6">
        <v>4600000000</v>
      </c>
      <c r="E82" s="1" t="s">
        <v>341</v>
      </c>
      <c r="F82" s="1" t="s">
        <v>5</v>
      </c>
      <c r="G82" s="18">
        <v>700000000</v>
      </c>
      <c r="L82" s="18">
        <v>1000000</v>
      </c>
      <c r="M82" s="3">
        <f>O82+1.92%</f>
        <v>7.17E-2</v>
      </c>
      <c r="N82" s="17" t="s">
        <v>335</v>
      </c>
      <c r="O82" s="3">
        <v>5.2499999999999998E-2</v>
      </c>
      <c r="Q82" s="5">
        <v>43726</v>
      </c>
      <c r="R82" s="5"/>
      <c r="S82" s="4">
        <f>(Q82-B82)/365.24</f>
        <v>6.9981382104917316</v>
      </c>
    </row>
    <row r="83" spans="1:22">
      <c r="A83" s="1" t="s">
        <v>1095</v>
      </c>
      <c r="B83" s="5">
        <v>40898</v>
      </c>
      <c r="C83" s="1" t="s">
        <v>1094</v>
      </c>
      <c r="D83" s="6">
        <f>340000000*6</f>
        <v>2040000000</v>
      </c>
      <c r="E83" s="1" t="s">
        <v>53</v>
      </c>
      <c r="F83" s="1" t="s">
        <v>17</v>
      </c>
      <c r="G83" s="18">
        <f>125000000*6</f>
        <v>750000000</v>
      </c>
      <c r="L83" s="18" t="s">
        <v>999</v>
      </c>
      <c r="M83" s="3">
        <v>0.12</v>
      </c>
      <c r="Q83" s="5">
        <v>42359</v>
      </c>
      <c r="R83" s="5"/>
      <c r="S83" s="4">
        <f>(Q83-B83)/365.24</f>
        <v>4.0001095170298981</v>
      </c>
      <c r="V83" s="1" t="s">
        <v>98</v>
      </c>
    </row>
    <row r="84" spans="1:22">
      <c r="A84" s="1" t="s">
        <v>1093</v>
      </c>
      <c r="B84" s="5">
        <v>40624</v>
      </c>
      <c r="C84" s="29" t="s">
        <v>1092</v>
      </c>
      <c r="D84" s="6">
        <v>44000000</v>
      </c>
      <c r="E84" s="1" t="s">
        <v>247</v>
      </c>
      <c r="F84" s="1" t="s">
        <v>17</v>
      </c>
      <c r="G84" s="18">
        <f>120000000*6</f>
        <v>720000000</v>
      </c>
      <c r="L84" s="18" t="s">
        <v>1091</v>
      </c>
      <c r="M84" s="3">
        <v>0.11749999999999999</v>
      </c>
      <c r="Q84" s="5">
        <v>42451</v>
      </c>
      <c r="R84" s="5"/>
      <c r="S84" s="4">
        <f>(Q84-B84)/365.24</f>
        <v>5.0021903405979629</v>
      </c>
    </row>
    <row r="85" spans="1:22">
      <c r="A85" s="1" t="s">
        <v>1090</v>
      </c>
      <c r="B85" s="5">
        <v>41593</v>
      </c>
      <c r="C85" s="1" t="s">
        <v>1088</v>
      </c>
      <c r="D85" s="6">
        <v>19000000000</v>
      </c>
      <c r="E85" s="1" t="s">
        <v>338</v>
      </c>
      <c r="F85" s="1" t="s">
        <v>33</v>
      </c>
      <c r="G85" s="18">
        <v>3000000000</v>
      </c>
      <c r="L85" s="18">
        <v>1000000</v>
      </c>
      <c r="M85" s="3">
        <f>0.55%+1.67%</f>
        <v>2.2200000000000001E-2</v>
      </c>
      <c r="N85" s="17" t="s">
        <v>335</v>
      </c>
      <c r="O85" s="3">
        <v>5.4999999999999997E-3</v>
      </c>
      <c r="Q85" s="5">
        <v>43419</v>
      </c>
      <c r="R85" s="5">
        <v>43784</v>
      </c>
      <c r="S85" s="4">
        <f>(Q85-B85)/365.24</f>
        <v>4.9994524148505093</v>
      </c>
    </row>
    <row r="86" spans="1:22">
      <c r="A86" s="1" t="s">
        <v>1089</v>
      </c>
      <c r="B86" s="5">
        <v>41593</v>
      </c>
      <c r="C86" s="1" t="s">
        <v>1088</v>
      </c>
      <c r="D86" s="6">
        <v>19000000000</v>
      </c>
      <c r="E86" s="1" t="s">
        <v>338</v>
      </c>
      <c r="F86" s="1" t="s">
        <v>17</v>
      </c>
      <c r="G86" s="18">
        <v>3000000000</v>
      </c>
      <c r="L86" s="18">
        <v>1000000</v>
      </c>
      <c r="M86" s="3">
        <v>3.85E-2</v>
      </c>
      <c r="Q86" s="5">
        <v>45245</v>
      </c>
      <c r="R86" s="5">
        <v>45245</v>
      </c>
      <c r="S86" s="4">
        <f>(Q86-B86)/365.24</f>
        <v>9.9989048297010186</v>
      </c>
    </row>
    <row r="87" spans="1:22">
      <c r="A87" s="1" t="s">
        <v>1087</v>
      </c>
      <c r="B87" s="5">
        <v>41310</v>
      </c>
      <c r="C87" s="1" t="s">
        <v>1085</v>
      </c>
      <c r="D87" s="6">
        <v>85000000</v>
      </c>
      <c r="E87" s="1" t="s">
        <v>338</v>
      </c>
      <c r="F87" s="1" t="s">
        <v>5</v>
      </c>
      <c r="G87" s="18">
        <v>90000000</v>
      </c>
      <c r="L87" s="18">
        <v>1000000</v>
      </c>
      <c r="M87" s="3">
        <f>O87+1.9%</f>
        <v>2.87E-2</v>
      </c>
      <c r="N87" s="17" t="s">
        <v>335</v>
      </c>
      <c r="O87" s="3">
        <v>9.7000000000000003E-3</v>
      </c>
      <c r="Q87" s="5">
        <v>42405</v>
      </c>
      <c r="S87" s="4">
        <f>(Q87-B87)/365.24</f>
        <v>2.9980286934618334</v>
      </c>
    </row>
    <row r="88" spans="1:22">
      <c r="A88" s="1" t="s">
        <v>1086</v>
      </c>
      <c r="B88" s="5">
        <v>41521</v>
      </c>
      <c r="C88" s="1" t="s">
        <v>1085</v>
      </c>
      <c r="D88" s="6">
        <v>85000000</v>
      </c>
      <c r="E88" s="1" t="s">
        <v>338</v>
      </c>
      <c r="F88" s="1" t="s">
        <v>5</v>
      </c>
      <c r="G88" s="18">
        <v>150000000</v>
      </c>
      <c r="L88" s="18">
        <v>1000000</v>
      </c>
      <c r="M88" s="3">
        <f>O88+1.71%</f>
        <v>2.7700000000000002E-2</v>
      </c>
      <c r="N88" s="17" t="s">
        <v>335</v>
      </c>
      <c r="O88" s="3">
        <v>1.06E-2</v>
      </c>
      <c r="Q88" s="5">
        <v>43347</v>
      </c>
      <c r="S88" s="4">
        <f>(Q88-B88)/365.24</f>
        <v>4.9994524148505093</v>
      </c>
    </row>
    <row r="89" spans="1:22">
      <c r="A89" s="1" t="s">
        <v>1084</v>
      </c>
      <c r="B89" s="5">
        <v>40596</v>
      </c>
      <c r="C89" s="1" t="s">
        <v>1081</v>
      </c>
      <c r="D89" s="6">
        <v>4100000000</v>
      </c>
      <c r="E89" s="1" t="s">
        <v>53</v>
      </c>
      <c r="F89" s="1" t="s">
        <v>17</v>
      </c>
      <c r="G89" s="18">
        <v>1500000000</v>
      </c>
      <c r="L89" s="18">
        <v>500000</v>
      </c>
      <c r="M89" s="3">
        <v>5.1499999999999997E-2</v>
      </c>
      <c r="Q89" s="5">
        <v>43153</v>
      </c>
      <c r="S89" s="4">
        <f>(Q89-B89)/365.24</f>
        <v>7.0008761362391851</v>
      </c>
    </row>
    <row r="90" spans="1:22">
      <c r="A90" s="1" t="s">
        <v>1083</v>
      </c>
      <c r="B90" s="5">
        <v>41248</v>
      </c>
      <c r="C90" s="1" t="s">
        <v>1081</v>
      </c>
      <c r="D90" s="6">
        <v>4100000000</v>
      </c>
      <c r="E90" s="1" t="s">
        <v>53</v>
      </c>
      <c r="F90" s="1" t="s">
        <v>17</v>
      </c>
      <c r="G90" s="18">
        <v>1000000000</v>
      </c>
      <c r="L90" s="18">
        <v>1000000</v>
      </c>
      <c r="M90" s="3">
        <v>4.3499999999999997E-2</v>
      </c>
      <c r="Q90" s="5">
        <v>44900</v>
      </c>
      <c r="S90" s="4">
        <f>(Q90-B90)/365.24</f>
        <v>9.9989048297010186</v>
      </c>
    </row>
    <row r="91" spans="1:22">
      <c r="A91" s="1" t="s">
        <v>1082</v>
      </c>
      <c r="B91" s="5">
        <v>41670</v>
      </c>
      <c r="C91" s="1" t="s">
        <v>1081</v>
      </c>
      <c r="D91" s="6">
        <v>3300000000</v>
      </c>
      <c r="E91" s="1" t="s">
        <v>53</v>
      </c>
      <c r="F91" s="1" t="s">
        <v>17</v>
      </c>
      <c r="G91" s="18">
        <v>1000000000</v>
      </c>
      <c r="L91" s="18">
        <v>1000000</v>
      </c>
      <c r="M91" s="3">
        <v>4.3999999999999997E-2</v>
      </c>
      <c r="Q91" s="5">
        <v>47149</v>
      </c>
      <c r="S91" s="4">
        <f>(Q91-B91)/365.24</f>
        <v>15.001095170298981</v>
      </c>
    </row>
    <row r="92" spans="1:22">
      <c r="A92" s="1" t="s">
        <v>1080</v>
      </c>
      <c r="B92" s="5">
        <v>41521</v>
      </c>
      <c r="C92" s="1" t="s">
        <v>1079</v>
      </c>
      <c r="D92" s="6">
        <v>100000000</v>
      </c>
      <c r="E92" s="1" t="s">
        <v>53</v>
      </c>
      <c r="F92" s="1" t="s">
        <v>5</v>
      </c>
      <c r="G92" s="18">
        <v>525000000</v>
      </c>
      <c r="L92" s="18">
        <v>1</v>
      </c>
      <c r="M92" s="3">
        <f>O92+1.71%</f>
        <v>8.4600000000000009E-2</v>
      </c>
      <c r="N92" s="17" t="s">
        <v>335</v>
      </c>
      <c r="O92" s="3">
        <v>6.7500000000000004E-2</v>
      </c>
      <c r="Q92" s="5">
        <v>43347</v>
      </c>
      <c r="S92" s="4">
        <f>(Q92-B92)/365.24</f>
        <v>4.9994524148505093</v>
      </c>
      <c r="V92" s="1" t="s">
        <v>98</v>
      </c>
    </row>
    <row r="93" spans="1:22">
      <c r="A93" s="1" t="s">
        <v>1078</v>
      </c>
      <c r="B93" s="5">
        <v>41246</v>
      </c>
      <c r="C93" s="1" t="s">
        <v>1075</v>
      </c>
      <c r="D93" s="6">
        <v>400000000</v>
      </c>
      <c r="E93" s="1" t="s">
        <v>338</v>
      </c>
      <c r="F93" s="1" t="s">
        <v>5</v>
      </c>
      <c r="G93" s="18">
        <v>300000000</v>
      </c>
      <c r="L93" s="18">
        <v>500000</v>
      </c>
      <c r="M93" s="3">
        <f>O93+1.9%</f>
        <v>3.7999999999999999E-2</v>
      </c>
      <c r="N93" s="17" t="s">
        <v>335</v>
      </c>
      <c r="O93" s="3">
        <v>1.9E-2</v>
      </c>
      <c r="Q93" s="5">
        <v>42158</v>
      </c>
      <c r="S93" s="4">
        <f>(Q93-B93)/365.24</f>
        <v>2.4969882816778006</v>
      </c>
    </row>
    <row r="94" spans="1:22">
      <c r="A94" s="1" t="s">
        <v>1077</v>
      </c>
      <c r="B94" s="5">
        <v>41261</v>
      </c>
      <c r="C94" s="1" t="s">
        <v>1075</v>
      </c>
      <c r="D94" s="6">
        <v>400000000</v>
      </c>
      <c r="E94" s="1" t="s">
        <v>338</v>
      </c>
      <c r="F94" s="1" t="s">
        <v>5</v>
      </c>
      <c r="G94" s="18">
        <v>300000000</v>
      </c>
      <c r="L94" s="18">
        <v>500000</v>
      </c>
      <c r="M94" s="3">
        <f>O94+1.85%</f>
        <v>0.04</v>
      </c>
      <c r="N94" s="17" t="s">
        <v>335</v>
      </c>
      <c r="O94" s="3">
        <v>2.1499999999999998E-2</v>
      </c>
      <c r="Q94" s="5">
        <v>43452</v>
      </c>
      <c r="S94" s="4">
        <f>(Q94-B94)/365.24</f>
        <v>5.9987953126711204</v>
      </c>
    </row>
    <row r="95" spans="1:22">
      <c r="A95" s="1" t="s">
        <v>1076</v>
      </c>
      <c r="B95" s="5">
        <v>41533</v>
      </c>
      <c r="C95" s="1" t="s">
        <v>1075</v>
      </c>
      <c r="D95" s="6">
        <v>450000000</v>
      </c>
      <c r="E95" s="1" t="s">
        <v>338</v>
      </c>
      <c r="F95" s="1" t="s">
        <v>5</v>
      </c>
      <c r="G95" s="18">
        <v>300000000</v>
      </c>
      <c r="L95" s="18">
        <v>500000</v>
      </c>
      <c r="M95" s="3">
        <f>O95+1.74%</f>
        <v>3.0399999999999996E-2</v>
      </c>
      <c r="N95" s="17" t="s">
        <v>335</v>
      </c>
      <c r="O95" s="3">
        <v>1.2999999999999999E-2</v>
      </c>
      <c r="Q95" s="5">
        <v>42629</v>
      </c>
      <c r="S95" s="4">
        <f>(Q95-B95)/365.24</f>
        <v>3.000766619209287</v>
      </c>
    </row>
    <row r="96" spans="1:22">
      <c r="A96" s="1" t="s">
        <v>1074</v>
      </c>
      <c r="B96" s="5">
        <v>41211</v>
      </c>
      <c r="C96" s="1" t="s">
        <v>1067</v>
      </c>
      <c r="D96" s="6">
        <v>1300000000</v>
      </c>
      <c r="E96" s="1" t="s">
        <v>338</v>
      </c>
      <c r="F96" s="1" t="s">
        <v>5</v>
      </c>
      <c r="G96" s="18">
        <v>1000000000</v>
      </c>
      <c r="L96" s="18">
        <v>500000</v>
      </c>
      <c r="M96" s="3">
        <f>O96+1.86%</f>
        <v>2.6600000000000002E-2</v>
      </c>
      <c r="N96" s="17" t="s">
        <v>335</v>
      </c>
      <c r="O96" s="3">
        <v>8.0000000000000002E-3</v>
      </c>
      <c r="Q96" s="5">
        <v>41758</v>
      </c>
      <c r="S96" s="4">
        <f>(Q96-B96)/365.24</f>
        <v>1.4976453838571897</v>
      </c>
    </row>
    <row r="97" spans="1:22">
      <c r="A97" s="1" t="s">
        <v>1073</v>
      </c>
      <c r="B97" s="5">
        <v>41346</v>
      </c>
      <c r="C97" s="1" t="s">
        <v>1067</v>
      </c>
      <c r="D97" s="6">
        <v>1600000000</v>
      </c>
      <c r="E97" s="1" t="s">
        <v>338</v>
      </c>
      <c r="F97" s="1" t="s">
        <v>5</v>
      </c>
      <c r="G97" s="18">
        <v>250000000</v>
      </c>
      <c r="L97" s="18">
        <v>1000000</v>
      </c>
      <c r="M97" s="3">
        <f>O97+1.84%</f>
        <v>2.64E-2</v>
      </c>
      <c r="N97" s="17" t="s">
        <v>335</v>
      </c>
      <c r="O97" s="3">
        <v>8.0000000000000002E-3</v>
      </c>
      <c r="Q97" s="5">
        <v>42076</v>
      </c>
      <c r="S97" s="4">
        <f>(Q97-B97)/365.24</f>
        <v>1.9986857956412221</v>
      </c>
    </row>
    <row r="98" spans="1:22">
      <c r="A98" s="1" t="s">
        <v>1072</v>
      </c>
      <c r="B98" s="5">
        <v>41417</v>
      </c>
      <c r="C98" s="1" t="s">
        <v>1067</v>
      </c>
      <c r="D98" s="6">
        <v>1600000000</v>
      </c>
      <c r="E98" s="1" t="s">
        <v>338</v>
      </c>
      <c r="F98" s="1" t="s">
        <v>5</v>
      </c>
      <c r="G98" s="18">
        <v>250000000</v>
      </c>
      <c r="L98" s="18">
        <v>100000</v>
      </c>
      <c r="M98" s="3">
        <f>O98+1.75%</f>
        <v>3.95E-2</v>
      </c>
      <c r="N98" s="17" t="s">
        <v>335</v>
      </c>
      <c r="O98" s="3">
        <v>2.1999999999999999E-2</v>
      </c>
      <c r="Q98" s="5">
        <v>45069</v>
      </c>
      <c r="S98" s="4">
        <f>(Q98-B98)/365.24</f>
        <v>9.9989048297010186</v>
      </c>
      <c r="V98" s="1" t="s">
        <v>56</v>
      </c>
    </row>
    <row r="99" spans="1:22">
      <c r="A99" s="1" t="s">
        <v>1071</v>
      </c>
      <c r="B99" s="5">
        <v>41563</v>
      </c>
      <c r="C99" s="1" t="s">
        <v>1067</v>
      </c>
      <c r="D99" s="6">
        <v>1600000000</v>
      </c>
      <c r="E99" s="1" t="s">
        <v>338</v>
      </c>
      <c r="F99" s="1" t="s">
        <v>5</v>
      </c>
      <c r="G99" s="18">
        <v>500000000</v>
      </c>
      <c r="L99" s="18">
        <v>1000000</v>
      </c>
      <c r="M99" s="3">
        <f>O99+1.7%</f>
        <v>2.3900000000000001E-2</v>
      </c>
      <c r="N99" s="17" t="s">
        <v>335</v>
      </c>
      <c r="O99" s="3">
        <v>6.8999999999999999E-3</v>
      </c>
      <c r="Q99" s="5">
        <v>42293</v>
      </c>
      <c r="S99" s="4">
        <f>(Q99-B99)/365.24</f>
        <v>1.9986857956412221</v>
      </c>
    </row>
    <row r="100" spans="1:22">
      <c r="A100" s="1" t="s">
        <v>1070</v>
      </c>
      <c r="B100" s="5">
        <v>41614</v>
      </c>
      <c r="C100" s="1" t="s">
        <v>1067</v>
      </c>
      <c r="D100" s="6">
        <v>1600000000</v>
      </c>
      <c r="E100" s="1" t="s">
        <v>338</v>
      </c>
      <c r="F100" s="1" t="s">
        <v>5</v>
      </c>
      <c r="G100" s="18">
        <v>600000000</v>
      </c>
      <c r="L100" s="18">
        <v>1000000</v>
      </c>
      <c r="M100" s="3">
        <f>O100+1.65%</f>
        <v>2.5500000000000002E-2</v>
      </c>
      <c r="N100" s="17" t="s">
        <v>335</v>
      </c>
      <c r="O100" s="3">
        <v>8.9999999999999993E-3</v>
      </c>
      <c r="Q100" s="5">
        <v>42710</v>
      </c>
      <c r="S100" s="4">
        <f>(Q100-B100)/365.24</f>
        <v>3.000766619209287</v>
      </c>
    </row>
    <row r="101" spans="1:22">
      <c r="A101" s="1" t="s">
        <v>1069</v>
      </c>
      <c r="B101" s="5">
        <v>41625</v>
      </c>
      <c r="C101" s="1" t="s">
        <v>1067</v>
      </c>
      <c r="D101" s="6">
        <v>1600000000</v>
      </c>
      <c r="E101" s="1" t="s">
        <v>338</v>
      </c>
      <c r="F101" s="1" t="s">
        <v>5</v>
      </c>
      <c r="G101" s="18">
        <v>500000000</v>
      </c>
      <c r="L101" s="18">
        <v>1000000</v>
      </c>
      <c r="M101" s="3">
        <f>O101+1.64%</f>
        <v>2.7799999999999998E-2</v>
      </c>
      <c r="N101" s="17" t="s">
        <v>335</v>
      </c>
      <c r="O101" s="3">
        <v>1.14E-2</v>
      </c>
      <c r="Q101" s="5">
        <v>43451</v>
      </c>
      <c r="S101" s="4">
        <f>(Q101-B101)/365.24</f>
        <v>4.9994524148505093</v>
      </c>
    </row>
    <row r="102" spans="1:22">
      <c r="A102" s="1" t="s">
        <v>1068</v>
      </c>
      <c r="B102" s="5">
        <v>41710</v>
      </c>
      <c r="C102" s="1" t="s">
        <v>1067</v>
      </c>
      <c r="D102" s="6">
        <v>1600000000</v>
      </c>
      <c r="E102" s="1" t="s">
        <v>338</v>
      </c>
      <c r="F102" s="1" t="s">
        <v>5</v>
      </c>
      <c r="G102" s="18">
        <v>600000000</v>
      </c>
      <c r="L102" s="18">
        <v>1000000</v>
      </c>
      <c r="M102" s="3">
        <f>O102+1.7%</f>
        <v>2.35E-2</v>
      </c>
      <c r="N102" s="17" t="s">
        <v>335</v>
      </c>
      <c r="O102" s="3">
        <v>6.4999999999999997E-3</v>
      </c>
      <c r="Q102" s="5">
        <v>42990</v>
      </c>
      <c r="S102" s="4">
        <f>(Q102-B102)/365.24</f>
        <v>3.5045449567407729</v>
      </c>
    </row>
    <row r="103" spans="1:22">
      <c r="A103" s="1" t="s">
        <v>1066</v>
      </c>
      <c r="B103" s="5">
        <v>41247</v>
      </c>
      <c r="C103" s="1" t="s">
        <v>1056</v>
      </c>
      <c r="D103" s="6">
        <v>160000000</v>
      </c>
      <c r="E103" s="1" t="s">
        <v>338</v>
      </c>
      <c r="F103" s="1" t="s">
        <v>5</v>
      </c>
      <c r="G103" s="18">
        <v>200000000</v>
      </c>
      <c r="L103" s="18">
        <v>1000000</v>
      </c>
      <c r="M103" s="3">
        <f>O103+1.9%</f>
        <v>2.75E-2</v>
      </c>
      <c r="N103" s="17" t="s">
        <v>335</v>
      </c>
      <c r="O103" s="3">
        <v>8.5000000000000006E-3</v>
      </c>
      <c r="Q103" s="5">
        <v>41977</v>
      </c>
      <c r="S103" s="4">
        <f>(Q103-B103)/365.24</f>
        <v>1.9986857956412221</v>
      </c>
    </row>
    <row r="104" spans="1:22">
      <c r="A104" s="1" t="s">
        <v>1065</v>
      </c>
      <c r="B104" s="5">
        <v>41402</v>
      </c>
      <c r="C104" s="1" t="s">
        <v>1056</v>
      </c>
      <c r="D104" s="6">
        <v>180000000</v>
      </c>
      <c r="E104" s="1" t="s">
        <v>338</v>
      </c>
      <c r="F104" s="1" t="s">
        <v>5</v>
      </c>
      <c r="G104" s="18">
        <v>400000000</v>
      </c>
      <c r="L104" s="18">
        <v>1000000</v>
      </c>
      <c r="M104" s="3">
        <f>O104+1.73%</f>
        <v>2.58E-2</v>
      </c>
      <c r="N104" s="17" t="s">
        <v>335</v>
      </c>
      <c r="O104" s="3">
        <v>8.5000000000000006E-3</v>
      </c>
      <c r="Q104" s="5">
        <v>41402</v>
      </c>
      <c r="S104" s="4">
        <f>(Q104-B104)/365.24</f>
        <v>0</v>
      </c>
    </row>
    <row r="105" spans="1:22">
      <c r="A105" s="1" t="s">
        <v>1064</v>
      </c>
      <c r="B105" s="5">
        <v>41563</v>
      </c>
      <c r="C105" s="1" t="s">
        <v>1056</v>
      </c>
      <c r="D105" s="6">
        <v>180000000</v>
      </c>
      <c r="E105" s="1" t="s">
        <v>338</v>
      </c>
      <c r="F105" s="1" t="s">
        <v>5</v>
      </c>
      <c r="G105" s="18">
        <v>300000000</v>
      </c>
      <c r="L105" s="18">
        <v>1000000</v>
      </c>
      <c r="M105" s="3">
        <f>O105+1.7%</f>
        <v>2.7000000000000003E-2</v>
      </c>
      <c r="N105" s="17" t="s">
        <v>335</v>
      </c>
      <c r="O105" s="3">
        <v>0.01</v>
      </c>
      <c r="Q105" s="5">
        <v>42657</v>
      </c>
      <c r="S105" s="4">
        <f>(Q105-B105)/365.24</f>
        <v>2.9952907677143794</v>
      </c>
    </row>
    <row r="106" spans="1:22">
      <c r="A106" s="1" t="s">
        <v>1063</v>
      </c>
      <c r="B106" s="5">
        <v>41388</v>
      </c>
      <c r="C106" s="1" t="s">
        <v>1056</v>
      </c>
      <c r="D106" s="6">
        <v>180000000</v>
      </c>
      <c r="E106" s="1" t="s">
        <v>338</v>
      </c>
      <c r="F106" s="1" t="s">
        <v>33</v>
      </c>
      <c r="G106" s="18">
        <v>500000000</v>
      </c>
      <c r="L106" s="18">
        <v>1000000</v>
      </c>
      <c r="M106" s="3">
        <f>O106+1.78%</f>
        <v>2.4399999999999998E-2</v>
      </c>
      <c r="N106" s="17" t="s">
        <v>335</v>
      </c>
      <c r="O106" s="3">
        <v>6.6E-3</v>
      </c>
      <c r="Q106" s="5">
        <v>42993</v>
      </c>
      <c r="R106" s="5">
        <v>43357</v>
      </c>
      <c r="S106" s="4">
        <f>(Q106-B106)/365.24</f>
        <v>4.3943708246632349</v>
      </c>
    </row>
    <row r="107" spans="1:22">
      <c r="A107" s="1" t="s">
        <v>1062</v>
      </c>
      <c r="B107" s="5">
        <v>40928</v>
      </c>
      <c r="C107" s="1" t="s">
        <v>1056</v>
      </c>
      <c r="D107" s="6">
        <v>160000000</v>
      </c>
      <c r="E107" s="1" t="s">
        <v>338</v>
      </c>
      <c r="F107" s="1" t="s">
        <v>33</v>
      </c>
      <c r="G107" s="18">
        <v>400000000</v>
      </c>
      <c r="L107" s="18">
        <v>500000</v>
      </c>
      <c r="M107" s="3">
        <f>O107+2.65%</f>
        <v>3.5999999999999997E-2</v>
      </c>
      <c r="N107" s="17" t="s">
        <v>335</v>
      </c>
      <c r="O107" s="3">
        <v>9.4999999999999998E-3</v>
      </c>
      <c r="Q107" s="5">
        <v>42024</v>
      </c>
      <c r="R107" s="5">
        <v>42389</v>
      </c>
      <c r="S107" s="4">
        <f>(Q107-B107)/365.24</f>
        <v>3.000766619209287</v>
      </c>
    </row>
    <row r="108" spans="1:22">
      <c r="A108" s="1" t="s">
        <v>1061</v>
      </c>
      <c r="B108" s="5">
        <v>41215</v>
      </c>
      <c r="C108" s="1" t="s">
        <v>1056</v>
      </c>
      <c r="D108" s="6">
        <v>160000000</v>
      </c>
      <c r="E108" s="1" t="s">
        <v>338</v>
      </c>
      <c r="F108" s="1" t="s">
        <v>33</v>
      </c>
      <c r="G108" s="18">
        <v>400000000</v>
      </c>
      <c r="L108" s="18">
        <v>500000</v>
      </c>
      <c r="M108" s="3">
        <f>O108+1.87%</f>
        <v>2.7900000000000001E-2</v>
      </c>
      <c r="N108" s="17" t="s">
        <v>335</v>
      </c>
      <c r="O108" s="3">
        <v>9.1999999999999998E-3</v>
      </c>
      <c r="Q108" s="5">
        <v>42492</v>
      </c>
      <c r="R108" s="5">
        <v>42857</v>
      </c>
      <c r="S108" s="4">
        <f>(Q108-B108)/365.24</f>
        <v>3.4963311794984118</v>
      </c>
    </row>
    <row r="109" spans="1:22">
      <c r="A109" s="1" t="s">
        <v>1060</v>
      </c>
      <c r="B109" s="5">
        <v>41228</v>
      </c>
      <c r="C109" s="1" t="s">
        <v>1056</v>
      </c>
      <c r="D109" s="6">
        <v>160000000</v>
      </c>
      <c r="E109" s="1" t="s">
        <v>338</v>
      </c>
      <c r="F109" s="1" t="s">
        <v>33</v>
      </c>
      <c r="G109" s="18">
        <v>400000000</v>
      </c>
      <c r="L109" s="18">
        <v>500000</v>
      </c>
      <c r="M109" s="3">
        <f>O109+1.93%</f>
        <v>3.1799999999999995E-2</v>
      </c>
      <c r="N109" s="17" t="s">
        <v>335</v>
      </c>
      <c r="O109" s="3">
        <v>1.2500000000000001E-2</v>
      </c>
      <c r="Q109" s="5">
        <v>43235</v>
      </c>
      <c r="R109" s="5">
        <v>43600</v>
      </c>
      <c r="S109" s="4">
        <f>(Q109-B109)/365.24</f>
        <v>5.4950169751396345</v>
      </c>
    </row>
    <row r="110" spans="1:22">
      <c r="A110" s="1" t="s">
        <v>1059</v>
      </c>
      <c r="B110" s="5">
        <v>41383</v>
      </c>
      <c r="C110" s="1" t="s">
        <v>1056</v>
      </c>
      <c r="D110" s="6">
        <v>180000000</v>
      </c>
      <c r="E110" s="1" t="s">
        <v>338</v>
      </c>
      <c r="F110" s="1" t="s">
        <v>33</v>
      </c>
      <c r="G110" s="18">
        <v>500000000</v>
      </c>
      <c r="L110" s="18">
        <v>1000000</v>
      </c>
      <c r="M110" s="3">
        <f>O110+2.32%</f>
        <v>3.44E-2</v>
      </c>
      <c r="N110" s="17" t="s">
        <v>335</v>
      </c>
      <c r="O110" s="3">
        <v>1.12E-2</v>
      </c>
      <c r="Q110" s="5">
        <v>43633</v>
      </c>
      <c r="R110" s="5">
        <v>43999</v>
      </c>
      <c r="S110" s="4">
        <f>(Q110-B110)/365.24</f>
        <v>6.1603329317708901</v>
      </c>
    </row>
    <row r="111" spans="1:22">
      <c r="A111" s="1" t="s">
        <v>1058</v>
      </c>
      <c r="B111" s="5">
        <v>41445</v>
      </c>
      <c r="C111" s="1" t="s">
        <v>1056</v>
      </c>
      <c r="D111" s="6">
        <v>180000000</v>
      </c>
      <c r="E111" s="1" t="s">
        <v>338</v>
      </c>
      <c r="F111" s="1" t="s">
        <v>33</v>
      </c>
      <c r="G111" s="18">
        <v>400000000</v>
      </c>
      <c r="L111" s="18">
        <v>1000000</v>
      </c>
      <c r="M111" s="3">
        <f>O111+1.88%</f>
        <v>2.93E-2</v>
      </c>
      <c r="N111" s="17" t="s">
        <v>335</v>
      </c>
      <c r="O111" s="3">
        <v>1.0500000000000001E-2</v>
      </c>
      <c r="Q111" s="5">
        <v>45097</v>
      </c>
      <c r="R111" s="5">
        <v>45463</v>
      </c>
      <c r="S111" s="4">
        <f>(Q111-B111)/365.24</f>
        <v>9.9989048297010186</v>
      </c>
    </row>
    <row r="112" spans="1:22">
      <c r="A112" s="1" t="s">
        <v>1057</v>
      </c>
      <c r="B112" s="5">
        <v>41663</v>
      </c>
      <c r="C112" s="1" t="s">
        <v>1056</v>
      </c>
      <c r="D112" s="6">
        <v>200000000</v>
      </c>
      <c r="E112" s="1" t="s">
        <v>338</v>
      </c>
      <c r="F112" s="1" t="s">
        <v>33</v>
      </c>
      <c r="G112" s="18">
        <v>750000000</v>
      </c>
      <c r="L112" s="18">
        <v>1000000</v>
      </c>
      <c r="M112" s="3">
        <f>O112+1.64%</f>
        <v>2.4899999999999999E-2</v>
      </c>
      <c r="N112" s="17" t="s">
        <v>335</v>
      </c>
      <c r="O112" s="3">
        <v>8.5000000000000006E-3</v>
      </c>
      <c r="Q112" s="5">
        <v>43854</v>
      </c>
      <c r="R112" s="5">
        <v>44220</v>
      </c>
      <c r="S112" s="4">
        <f>(Q112-B112)/365.24</f>
        <v>5.9987953126711204</v>
      </c>
    </row>
    <row r="113" spans="1:22">
      <c r="A113" s="1" t="s">
        <v>1055</v>
      </c>
      <c r="B113" s="5">
        <v>41074</v>
      </c>
      <c r="C113" s="1" t="s">
        <v>1052</v>
      </c>
      <c r="D113" s="6">
        <v>71000000</v>
      </c>
      <c r="E113" s="1" t="s">
        <v>338</v>
      </c>
      <c r="F113" s="1" t="s">
        <v>5</v>
      </c>
      <c r="G113" s="18">
        <v>100000000</v>
      </c>
      <c r="L113" s="18">
        <v>500000</v>
      </c>
      <c r="M113" s="3">
        <f>O113+2.38%</f>
        <v>4.4299999999999999E-2</v>
      </c>
      <c r="N113" s="17" t="s">
        <v>335</v>
      </c>
      <c r="O113" s="3">
        <v>2.0500000000000001E-2</v>
      </c>
      <c r="Q113" s="5">
        <v>42535</v>
      </c>
      <c r="S113" s="4">
        <f>(Q113-B113)/365.24</f>
        <v>4.0001095170298981</v>
      </c>
    </row>
    <row r="114" spans="1:22">
      <c r="A114" s="1" t="s">
        <v>1054</v>
      </c>
      <c r="B114" s="5">
        <v>41290</v>
      </c>
      <c r="C114" s="1" t="s">
        <v>1052</v>
      </c>
      <c r="D114" s="6">
        <v>77000000</v>
      </c>
      <c r="E114" s="1" t="s">
        <v>338</v>
      </c>
      <c r="F114" s="1" t="s">
        <v>5</v>
      </c>
      <c r="G114" s="18">
        <v>50000000</v>
      </c>
      <c r="L114" s="18">
        <v>1000000</v>
      </c>
      <c r="M114" s="3">
        <f>O114+1.85%</f>
        <v>3.0500000000000003E-2</v>
      </c>
      <c r="N114" s="17" t="s">
        <v>335</v>
      </c>
      <c r="O114" s="3">
        <v>1.2E-2</v>
      </c>
      <c r="Q114" s="5">
        <v>42629</v>
      </c>
      <c r="S114" s="4">
        <f>(Q114-B114)/365.24</f>
        <v>3.6660825758405431</v>
      </c>
    </row>
    <row r="115" spans="1:22">
      <c r="A115" s="1" t="s">
        <v>1053</v>
      </c>
      <c r="B115" s="5">
        <v>41341</v>
      </c>
      <c r="C115" s="1" t="s">
        <v>1052</v>
      </c>
      <c r="D115" s="6">
        <v>77000000</v>
      </c>
      <c r="E115" s="1" t="s">
        <v>338</v>
      </c>
      <c r="F115" s="1" t="s">
        <v>5</v>
      </c>
      <c r="G115" s="18">
        <v>30000000</v>
      </c>
      <c r="L115" s="18">
        <v>1000000</v>
      </c>
      <c r="M115" s="3">
        <f>O115+1.85%</f>
        <v>3.15E-2</v>
      </c>
      <c r="N115" s="17" t="s">
        <v>335</v>
      </c>
      <c r="O115" s="3">
        <v>1.2999999999999999E-2</v>
      </c>
      <c r="Q115" s="5">
        <v>43200</v>
      </c>
      <c r="S115" s="4">
        <f>(Q115-B115)/365.24</f>
        <v>5.0898039645164825</v>
      </c>
    </row>
    <row r="116" spans="1:22">
      <c r="A116" s="1" t="s">
        <v>1051</v>
      </c>
      <c r="B116" s="5">
        <v>41212</v>
      </c>
      <c r="C116" s="1" t="s">
        <v>1048</v>
      </c>
      <c r="D116" s="6">
        <v>1200000000</v>
      </c>
      <c r="E116" s="1" t="s">
        <v>25</v>
      </c>
      <c r="F116" s="1" t="s">
        <v>5</v>
      </c>
      <c r="G116" s="18">
        <v>500000000</v>
      </c>
      <c r="L116" s="18">
        <v>1000000</v>
      </c>
      <c r="M116" s="3">
        <f>O116+1.87%</f>
        <v>4.02E-2</v>
      </c>
      <c r="N116" s="17" t="s">
        <v>335</v>
      </c>
      <c r="O116" s="3">
        <v>2.1499999999999998E-2</v>
      </c>
      <c r="Q116" s="5">
        <v>43038</v>
      </c>
      <c r="S116" s="4">
        <f>(Q116-B116)/365.24</f>
        <v>4.9994524148505093</v>
      </c>
      <c r="V116" s="1" t="s">
        <v>28</v>
      </c>
    </row>
    <row r="117" spans="1:22">
      <c r="A117" s="1" t="s">
        <v>1050</v>
      </c>
      <c r="B117" s="5">
        <v>41212</v>
      </c>
      <c r="C117" s="1" t="s">
        <v>1048</v>
      </c>
      <c r="D117" s="6">
        <v>1200000000</v>
      </c>
      <c r="E117" s="1" t="s">
        <v>25</v>
      </c>
      <c r="F117" s="1" t="s">
        <v>17</v>
      </c>
      <c r="G117" s="18">
        <v>500000000</v>
      </c>
      <c r="L117" s="18">
        <v>1000000</v>
      </c>
      <c r="M117" s="3">
        <v>5.11E-2</v>
      </c>
      <c r="Q117" s="5">
        <v>43768</v>
      </c>
      <c r="S117" s="4">
        <f>(Q117-B117)/365.24</f>
        <v>6.9981382104917316</v>
      </c>
      <c r="V117" s="1" t="s">
        <v>28</v>
      </c>
    </row>
    <row r="118" spans="1:22">
      <c r="A118" s="1" t="s">
        <v>1049</v>
      </c>
      <c r="B118" s="5">
        <v>41257</v>
      </c>
      <c r="C118" s="1" t="s">
        <v>1048</v>
      </c>
      <c r="D118" s="6">
        <v>1200000000</v>
      </c>
      <c r="E118" s="1" t="s">
        <v>25</v>
      </c>
      <c r="F118" s="1" t="s">
        <v>17</v>
      </c>
      <c r="G118" s="18">
        <v>500000000</v>
      </c>
      <c r="L118" s="18">
        <v>1000000</v>
      </c>
      <c r="M118" s="3">
        <v>5.6500000000000002E-2</v>
      </c>
      <c r="Q118" s="5">
        <v>44909</v>
      </c>
      <c r="S118" s="4">
        <f>(Q118-B118)/365.24</f>
        <v>9.9989048297010186</v>
      </c>
    </row>
    <row r="119" spans="1:22">
      <c r="A119" s="1" t="s">
        <v>1047</v>
      </c>
      <c r="B119" s="5">
        <v>40892</v>
      </c>
      <c r="C119" s="1" t="s">
        <v>1045</v>
      </c>
      <c r="D119" s="6">
        <v>2200000000</v>
      </c>
      <c r="E119" s="1" t="s">
        <v>341</v>
      </c>
      <c r="F119" s="1" t="s">
        <v>17</v>
      </c>
      <c r="G119" s="18">
        <v>1000000000</v>
      </c>
      <c r="L119" s="18">
        <v>500000</v>
      </c>
      <c r="M119" s="3">
        <v>4.7E-2</v>
      </c>
      <c r="Q119" s="5">
        <v>45642</v>
      </c>
      <c r="S119" s="4">
        <f>(Q119-B119)/365.24</f>
        <v>13.005147300405213</v>
      </c>
      <c r="V119" s="1" t="s">
        <v>28</v>
      </c>
    </row>
    <row r="120" spans="1:22">
      <c r="A120" s="1" t="s">
        <v>1046</v>
      </c>
      <c r="B120" s="5">
        <v>40801</v>
      </c>
      <c r="C120" s="1" t="s">
        <v>1045</v>
      </c>
      <c r="D120" s="6">
        <v>2200000000</v>
      </c>
      <c r="E120" s="1" t="s">
        <v>341</v>
      </c>
      <c r="F120" s="1" t="s">
        <v>17</v>
      </c>
      <c r="G120" s="18">
        <v>600000000</v>
      </c>
      <c r="L120" s="18">
        <v>500000</v>
      </c>
      <c r="M120" s="3">
        <v>4.9599999999999998E-2</v>
      </c>
      <c r="Q120" s="5">
        <v>45184</v>
      </c>
      <c r="S120" s="4">
        <f>(Q120-B120)/365.24</f>
        <v>12.000328551089694</v>
      </c>
    </row>
    <row r="121" spans="1:22">
      <c r="A121" s="1" t="s">
        <v>1044</v>
      </c>
      <c r="B121" s="5">
        <v>41310</v>
      </c>
      <c r="C121" s="1" t="s">
        <v>1043</v>
      </c>
      <c r="D121" s="6">
        <v>360000000</v>
      </c>
      <c r="E121" s="1" t="s">
        <v>341</v>
      </c>
      <c r="F121" s="1" t="s">
        <v>5</v>
      </c>
      <c r="G121" s="18">
        <v>300000000</v>
      </c>
      <c r="L121" s="18">
        <v>500000</v>
      </c>
      <c r="M121" s="3">
        <f>O121+1.9%</f>
        <v>9.4E-2</v>
      </c>
      <c r="N121" s="17" t="s">
        <v>335</v>
      </c>
      <c r="O121" s="3">
        <v>7.4999999999999997E-2</v>
      </c>
      <c r="Q121" s="5">
        <v>42405</v>
      </c>
      <c r="S121" s="4">
        <f>(Q121-B121)/365.24</f>
        <v>2.9980286934618334</v>
      </c>
    </row>
    <row r="122" spans="1:22">
      <c r="A122" s="1" t="s">
        <v>1042</v>
      </c>
      <c r="B122" s="5">
        <v>41318</v>
      </c>
      <c r="C122" s="1" t="s">
        <v>1041</v>
      </c>
      <c r="D122" s="6">
        <v>11100000000</v>
      </c>
      <c r="E122" s="1" t="s">
        <v>341</v>
      </c>
      <c r="F122" s="1" t="s">
        <v>5</v>
      </c>
      <c r="G122" s="18">
        <v>750000000</v>
      </c>
      <c r="L122" s="18">
        <v>1000000</v>
      </c>
      <c r="M122" s="3">
        <f>O122+1.93%</f>
        <v>4.1299999999999996E-2</v>
      </c>
      <c r="N122" s="17" t="s">
        <v>335</v>
      </c>
      <c r="O122" s="3">
        <v>2.1999999999999999E-2</v>
      </c>
      <c r="Q122" s="5">
        <v>43144</v>
      </c>
      <c r="S122" s="4">
        <f>(Q122-B122)/365.24</f>
        <v>4.9994524148505093</v>
      </c>
    </row>
    <row r="123" spans="1:22">
      <c r="A123" s="1" t="s">
        <v>1040</v>
      </c>
      <c r="B123" s="5">
        <v>40847</v>
      </c>
      <c r="C123" s="1" t="s">
        <v>1037</v>
      </c>
      <c r="D123" s="6">
        <v>60000000</v>
      </c>
      <c r="E123" s="1" t="s">
        <v>338</v>
      </c>
      <c r="F123" s="1" t="s">
        <v>5</v>
      </c>
      <c r="G123" s="18">
        <v>100000000</v>
      </c>
      <c r="L123" s="18">
        <v>500000</v>
      </c>
      <c r="M123" s="3">
        <f>O123+3.04%</f>
        <v>4.6399999999999997E-2</v>
      </c>
      <c r="N123" s="17" t="s">
        <v>335</v>
      </c>
      <c r="O123" s="3">
        <v>1.6E-2</v>
      </c>
      <c r="Q123" s="5">
        <v>41943</v>
      </c>
      <c r="S123" s="4">
        <f>(Q123-B123)/365.24</f>
        <v>3.000766619209287</v>
      </c>
    </row>
    <row r="124" spans="1:22">
      <c r="A124" s="1" t="s">
        <v>1039</v>
      </c>
      <c r="B124" s="5">
        <v>40996</v>
      </c>
      <c r="C124" s="1" t="s">
        <v>1037</v>
      </c>
      <c r="D124" s="6">
        <v>65000000</v>
      </c>
      <c r="E124" s="1" t="s">
        <v>338</v>
      </c>
      <c r="F124" s="1" t="s">
        <v>5</v>
      </c>
      <c r="G124" s="18">
        <v>150000000</v>
      </c>
      <c r="L124" s="18">
        <v>1000000</v>
      </c>
      <c r="M124" s="3">
        <f>O124+2.24%</f>
        <v>3.7600000000000001E-2</v>
      </c>
      <c r="N124" s="17" t="s">
        <v>335</v>
      </c>
      <c r="O124" s="3">
        <v>1.52E-2</v>
      </c>
      <c r="Q124" s="5">
        <v>42093</v>
      </c>
      <c r="S124" s="4">
        <f>(Q124-B124)/365.24</f>
        <v>3.0035045449567406</v>
      </c>
    </row>
    <row r="125" spans="1:22">
      <c r="A125" s="1" t="s">
        <v>1038</v>
      </c>
      <c r="B125" s="5">
        <v>41312</v>
      </c>
      <c r="C125" s="1" t="s">
        <v>1037</v>
      </c>
      <c r="D125" s="6">
        <v>86000000</v>
      </c>
      <c r="E125" s="1" t="s">
        <v>338</v>
      </c>
      <c r="F125" s="1" t="s">
        <v>5</v>
      </c>
      <c r="G125" s="18">
        <v>150000000</v>
      </c>
      <c r="L125" s="18">
        <v>500000</v>
      </c>
      <c r="M125" s="3">
        <f>O125+2.68%</f>
        <v>3.73E-2</v>
      </c>
      <c r="N125" s="17" t="s">
        <v>335</v>
      </c>
      <c r="O125" s="3">
        <v>1.0500000000000001E-2</v>
      </c>
      <c r="Q125" s="5">
        <v>42254</v>
      </c>
      <c r="S125" s="4">
        <f>(Q125-B125)/365.24</f>
        <v>2.5791260541014127</v>
      </c>
    </row>
    <row r="126" spans="1:22">
      <c r="A126" s="1" t="s">
        <v>1036</v>
      </c>
      <c r="B126" s="5">
        <v>41071</v>
      </c>
      <c r="C126" s="1" t="s">
        <v>1027</v>
      </c>
      <c r="D126" s="6">
        <v>280000000</v>
      </c>
      <c r="E126" s="1" t="s">
        <v>338</v>
      </c>
      <c r="F126" s="1" t="s">
        <v>5</v>
      </c>
      <c r="G126" s="18">
        <v>400000000</v>
      </c>
      <c r="L126" s="18">
        <v>500000</v>
      </c>
      <c r="M126" s="3">
        <f>O126+2.34%</f>
        <v>3.6899999999999995E-2</v>
      </c>
      <c r="N126" s="17" t="s">
        <v>335</v>
      </c>
      <c r="O126" s="3">
        <v>1.35E-2</v>
      </c>
      <c r="Q126" s="5">
        <v>42144</v>
      </c>
      <c r="S126" s="4">
        <f>(Q126-B126)/365.24</f>
        <v>2.9377943270178513</v>
      </c>
    </row>
    <row r="127" spans="1:22">
      <c r="A127" s="1" t="s">
        <v>1035</v>
      </c>
      <c r="B127" s="5">
        <v>41136</v>
      </c>
      <c r="C127" s="1" t="s">
        <v>1027</v>
      </c>
      <c r="D127" s="6">
        <v>280000000</v>
      </c>
      <c r="E127" s="1" t="s">
        <v>338</v>
      </c>
      <c r="F127" s="1" t="s">
        <v>5</v>
      </c>
      <c r="G127" s="18">
        <v>400000000</v>
      </c>
      <c r="L127" s="18">
        <v>500000</v>
      </c>
      <c r="M127" s="3">
        <f>O127+2.1%</f>
        <v>3.56E-2</v>
      </c>
      <c r="N127" s="17" t="s">
        <v>335</v>
      </c>
      <c r="O127" s="3">
        <v>1.46E-2</v>
      </c>
      <c r="Q127" s="5">
        <v>42597</v>
      </c>
      <c r="S127" s="4">
        <f>(Q127-B127)/365.24</f>
        <v>4.0001095170298981</v>
      </c>
    </row>
    <row r="128" spans="1:22">
      <c r="A128" s="1" t="s">
        <v>1034</v>
      </c>
      <c r="B128" s="5">
        <v>41226</v>
      </c>
      <c r="C128" s="1" t="s">
        <v>1027</v>
      </c>
      <c r="D128" s="6">
        <v>280000000</v>
      </c>
      <c r="E128" s="1" t="s">
        <v>338</v>
      </c>
      <c r="F128" s="1" t="s">
        <v>5</v>
      </c>
      <c r="G128" s="18">
        <v>400000000</v>
      </c>
      <c r="L128" s="18">
        <v>1000000</v>
      </c>
      <c r="M128" s="3">
        <f>O128+1.92%</f>
        <v>2.8899999999999999E-2</v>
      </c>
      <c r="N128" s="17" t="s">
        <v>335</v>
      </c>
      <c r="O128" s="3">
        <v>9.7000000000000003E-3</v>
      </c>
      <c r="Q128" s="5">
        <v>42503</v>
      </c>
      <c r="S128" s="4">
        <f>(Q128-B128)/365.24</f>
        <v>3.4963311794984118</v>
      </c>
    </row>
    <row r="129" spans="1:22">
      <c r="A129" s="1" t="s">
        <v>1033</v>
      </c>
      <c r="B129" s="5">
        <v>41320</v>
      </c>
      <c r="C129" s="1" t="s">
        <v>1027</v>
      </c>
      <c r="D129" s="6">
        <v>340000000</v>
      </c>
      <c r="E129" s="1" t="s">
        <v>338</v>
      </c>
      <c r="F129" s="1" t="s">
        <v>17</v>
      </c>
      <c r="G129" s="18">
        <v>500000000</v>
      </c>
      <c r="L129" s="18">
        <v>500000</v>
      </c>
      <c r="M129" s="3">
        <v>3.6200000000000003E-2</v>
      </c>
      <c r="Q129" s="5">
        <v>43146</v>
      </c>
      <c r="S129" s="4">
        <f>(Q129-B129)/365.24</f>
        <v>4.9994524148505093</v>
      </c>
    </row>
    <row r="130" spans="1:22">
      <c r="A130" s="1" t="s">
        <v>1032</v>
      </c>
      <c r="B130" s="5">
        <v>41453</v>
      </c>
      <c r="C130" s="1" t="s">
        <v>1027</v>
      </c>
      <c r="D130" s="6">
        <v>340000000</v>
      </c>
      <c r="E130" s="1" t="s">
        <v>338</v>
      </c>
      <c r="F130" s="1" t="s">
        <v>5</v>
      </c>
      <c r="G130" s="18">
        <v>200000000</v>
      </c>
      <c r="L130" s="18">
        <v>100000</v>
      </c>
      <c r="M130" s="3">
        <f>O130+1.66%</f>
        <v>3.5099999999999999E-2</v>
      </c>
      <c r="N130" s="17" t="s">
        <v>335</v>
      </c>
      <c r="O130" s="3">
        <v>1.8499999999999999E-2</v>
      </c>
      <c r="Q130" s="5">
        <v>45105</v>
      </c>
      <c r="S130" s="4">
        <f>(Q130-B130)/365.24</f>
        <v>9.9989048297010186</v>
      </c>
      <c r="V130" s="1" t="s">
        <v>56</v>
      </c>
    </row>
    <row r="131" spans="1:22">
      <c r="A131" s="1" t="s">
        <v>1031</v>
      </c>
      <c r="B131" s="5">
        <v>41526</v>
      </c>
      <c r="C131" s="1" t="s">
        <v>1027</v>
      </c>
      <c r="D131" s="6">
        <v>340000000</v>
      </c>
      <c r="E131" s="1" t="s">
        <v>338</v>
      </c>
      <c r="F131" s="1" t="s">
        <v>5</v>
      </c>
      <c r="G131" s="18">
        <v>500000000</v>
      </c>
      <c r="L131" s="18">
        <v>500000</v>
      </c>
      <c r="M131" s="3">
        <f>O131+1.72%</f>
        <v>0.02</v>
      </c>
      <c r="N131" s="17" t="s">
        <v>335</v>
      </c>
      <c r="O131" s="3">
        <v>2.8E-3</v>
      </c>
      <c r="Q131" s="5">
        <v>42072</v>
      </c>
      <c r="S131" s="4">
        <f>(Q131-B131)/365.24</f>
        <v>1.4949074581097361</v>
      </c>
    </row>
    <row r="132" spans="1:22">
      <c r="A132" s="1" t="s">
        <v>1030</v>
      </c>
      <c r="B132" s="5">
        <v>41578</v>
      </c>
      <c r="C132" s="1" t="s">
        <v>1027</v>
      </c>
      <c r="D132" s="6">
        <v>340000000</v>
      </c>
      <c r="E132" s="1" t="s">
        <v>338</v>
      </c>
      <c r="F132" s="1" t="s">
        <v>5</v>
      </c>
      <c r="G132" s="18">
        <v>500000000</v>
      </c>
      <c r="L132" s="18">
        <v>1000000</v>
      </c>
      <c r="M132" s="3">
        <f>O132+1.66%</f>
        <v>2.1399999999999999E-2</v>
      </c>
      <c r="N132" s="17" t="s">
        <v>335</v>
      </c>
      <c r="O132" s="3">
        <v>4.7999999999999996E-3</v>
      </c>
      <c r="Q132" s="5">
        <v>42384</v>
      </c>
      <c r="S132" s="4">
        <f>(Q132-B132)/365.24</f>
        <v>2.2067681524477054</v>
      </c>
    </row>
    <row r="133" spans="1:22">
      <c r="A133" s="1" t="s">
        <v>1029</v>
      </c>
      <c r="B133" s="5">
        <v>41618</v>
      </c>
      <c r="C133" s="1" t="s">
        <v>1027</v>
      </c>
      <c r="D133" s="6">
        <v>340000000</v>
      </c>
      <c r="E133" s="1" t="s">
        <v>338</v>
      </c>
      <c r="F133" s="1" t="s">
        <v>5</v>
      </c>
      <c r="G133" s="18">
        <v>1000000000</v>
      </c>
      <c r="L133" s="18">
        <v>1000000</v>
      </c>
      <c r="M133" s="3">
        <f>O133+1.64%</f>
        <v>2.3199999999999998E-2</v>
      </c>
      <c r="N133" s="17" t="s">
        <v>335</v>
      </c>
      <c r="O133" s="3">
        <v>6.7999999999999996E-3</v>
      </c>
      <c r="Q133" s="5">
        <v>42755</v>
      </c>
      <c r="S133" s="4">
        <f>(Q133-B133)/365.24</f>
        <v>3.1130215748548897</v>
      </c>
    </row>
    <row r="134" spans="1:22">
      <c r="A134" s="1" t="s">
        <v>1028</v>
      </c>
      <c r="B134" s="5">
        <v>41712</v>
      </c>
      <c r="C134" s="1" t="s">
        <v>1027</v>
      </c>
      <c r="D134" s="6">
        <v>340000000</v>
      </c>
      <c r="E134" s="1" t="s">
        <v>338</v>
      </c>
      <c r="F134" s="1" t="s">
        <v>5</v>
      </c>
      <c r="G134" s="18">
        <v>500000000</v>
      </c>
      <c r="L134" s="18">
        <v>1000000</v>
      </c>
      <c r="M134" s="3">
        <f>O134+1.72%</f>
        <v>2.1000000000000001E-2</v>
      </c>
      <c r="N134" s="17" t="s">
        <v>335</v>
      </c>
      <c r="O134" s="3">
        <v>3.8E-3</v>
      </c>
      <c r="Q134" s="5">
        <v>42864</v>
      </c>
      <c r="S134" s="4">
        <f>(Q134-B134)/365.24</f>
        <v>3.154090461066696</v>
      </c>
    </row>
    <row r="135" spans="1:22">
      <c r="A135" s="1" t="s">
        <v>1026</v>
      </c>
      <c r="B135" s="5">
        <v>40949</v>
      </c>
      <c r="C135" s="1" t="s">
        <v>1019</v>
      </c>
      <c r="D135" s="6">
        <v>120000000</v>
      </c>
      <c r="E135" s="1" t="s">
        <v>338</v>
      </c>
      <c r="F135" s="1" t="s">
        <v>33</v>
      </c>
      <c r="G135" s="18">
        <v>400000000</v>
      </c>
      <c r="L135" s="18">
        <v>500000</v>
      </c>
      <c r="M135" s="3">
        <f>O135+2.69%</f>
        <v>3.2899999999999999E-2</v>
      </c>
      <c r="N135" s="17" t="s">
        <v>335</v>
      </c>
      <c r="O135" s="3">
        <v>6.0000000000000001E-3</v>
      </c>
      <c r="Q135" s="5">
        <v>42173</v>
      </c>
      <c r="R135" s="5">
        <v>42541</v>
      </c>
      <c r="S135" s="4">
        <f>(Q135-B135)/365.24</f>
        <v>3.3512211148833644</v>
      </c>
    </row>
    <row r="136" spans="1:22">
      <c r="A136" s="1" t="s">
        <v>1025</v>
      </c>
      <c r="B136" s="5">
        <v>40989</v>
      </c>
      <c r="C136" s="1" t="s">
        <v>1019</v>
      </c>
      <c r="D136" s="6">
        <v>120000000</v>
      </c>
      <c r="E136" s="1" t="s">
        <v>338</v>
      </c>
      <c r="F136" s="1" t="s">
        <v>33</v>
      </c>
      <c r="G136" s="18">
        <v>400000000</v>
      </c>
      <c r="L136" s="18">
        <v>500000</v>
      </c>
      <c r="M136" s="3">
        <f>O136+2.32%</f>
        <v>3.2799999999999996E-2</v>
      </c>
      <c r="N136" s="17" t="s">
        <v>335</v>
      </c>
      <c r="O136" s="3">
        <v>9.5999999999999992E-3</v>
      </c>
      <c r="Q136" s="5">
        <v>42815</v>
      </c>
      <c r="R136" s="5">
        <v>43180</v>
      </c>
      <c r="S136" s="4">
        <f>(Q136-B136)/365.24</f>
        <v>4.9994524148505093</v>
      </c>
    </row>
    <row r="137" spans="1:22">
      <c r="A137" s="1" t="s">
        <v>1024</v>
      </c>
      <c r="B137" s="5">
        <v>41409</v>
      </c>
      <c r="C137" s="1" t="s">
        <v>1019</v>
      </c>
      <c r="D137" s="6">
        <v>150000000</v>
      </c>
      <c r="E137" s="1" t="s">
        <v>338</v>
      </c>
      <c r="F137" s="1" t="s">
        <v>33</v>
      </c>
      <c r="G137" s="18">
        <v>500000000</v>
      </c>
      <c r="L137" s="18">
        <v>1000000</v>
      </c>
      <c r="M137" s="3">
        <f>O137+1.78%</f>
        <v>2.1999999999999999E-2</v>
      </c>
      <c r="N137" s="17" t="s">
        <v>335</v>
      </c>
      <c r="O137" s="3">
        <v>4.1999999999999997E-3</v>
      </c>
      <c r="Q137" s="5">
        <v>43235</v>
      </c>
      <c r="R137" s="5">
        <v>43600</v>
      </c>
      <c r="S137" s="4">
        <f>(Q137-B137)/365.24</f>
        <v>4.9994524148505093</v>
      </c>
    </row>
    <row r="138" spans="1:22">
      <c r="A138" s="1" t="s">
        <v>1023</v>
      </c>
      <c r="B138" s="5">
        <v>41444</v>
      </c>
      <c r="C138" s="1" t="s">
        <v>1019</v>
      </c>
      <c r="D138" s="6">
        <v>150000000</v>
      </c>
      <c r="E138" s="1" t="s">
        <v>338</v>
      </c>
      <c r="F138" s="1" t="s">
        <v>33</v>
      </c>
      <c r="G138" s="18">
        <v>500000000</v>
      </c>
      <c r="L138" s="18">
        <v>1000000</v>
      </c>
      <c r="M138" s="3">
        <f>O138+1.76%</f>
        <v>2.23E-2</v>
      </c>
      <c r="N138" s="17" t="s">
        <v>335</v>
      </c>
      <c r="O138" s="3">
        <v>4.7000000000000002E-3</v>
      </c>
      <c r="Q138" s="5">
        <v>43635</v>
      </c>
      <c r="R138" s="5">
        <v>44001</v>
      </c>
      <c r="S138" s="4">
        <f>(Q138-B138)/365.24</f>
        <v>5.9987953126711204</v>
      </c>
    </row>
    <row r="139" spans="1:22">
      <c r="A139" s="1" t="s">
        <v>1022</v>
      </c>
      <c r="B139" s="5">
        <v>41506</v>
      </c>
      <c r="C139" s="1" t="s">
        <v>1019</v>
      </c>
      <c r="D139" s="6">
        <v>150000000</v>
      </c>
      <c r="E139" s="1" t="s">
        <v>338</v>
      </c>
      <c r="F139" s="1" t="s">
        <v>33</v>
      </c>
      <c r="G139" s="18">
        <v>500000000</v>
      </c>
      <c r="L139" s="18">
        <v>1000000</v>
      </c>
      <c r="M139" s="3">
        <f>O139+1.72%</f>
        <v>2.12E-2</v>
      </c>
      <c r="N139" s="17" t="s">
        <v>335</v>
      </c>
      <c r="O139" s="3">
        <v>4.0000000000000001E-3</v>
      </c>
      <c r="Q139" s="5">
        <v>43332</v>
      </c>
      <c r="R139" s="5">
        <v>43697</v>
      </c>
      <c r="S139" s="4">
        <f>(Q139-B139)/365.24</f>
        <v>4.9994524148505093</v>
      </c>
    </row>
    <row r="140" spans="1:22">
      <c r="A140" s="1" t="s">
        <v>1021</v>
      </c>
      <c r="B140" s="5">
        <v>41591</v>
      </c>
      <c r="C140" s="1" t="s">
        <v>1019</v>
      </c>
      <c r="D140" s="6">
        <v>150000000</v>
      </c>
      <c r="E140" s="1" t="s">
        <v>338</v>
      </c>
      <c r="F140" s="1" t="s">
        <v>33</v>
      </c>
      <c r="G140" s="18">
        <v>500000000</v>
      </c>
      <c r="L140" s="18">
        <v>1000000</v>
      </c>
      <c r="M140" s="3">
        <f>O140+1.67%</f>
        <v>2.1700000000000001E-2</v>
      </c>
      <c r="N140" s="17" t="s">
        <v>335</v>
      </c>
      <c r="O140" s="3">
        <v>5.0000000000000001E-3</v>
      </c>
      <c r="Q140" s="5">
        <v>43782</v>
      </c>
      <c r="R140" s="5">
        <v>44148</v>
      </c>
      <c r="S140" s="4">
        <f>(Q140-B140)/365.24</f>
        <v>5.9987953126711204</v>
      </c>
    </row>
    <row r="141" spans="1:22">
      <c r="A141" s="1" t="s">
        <v>1020</v>
      </c>
      <c r="B141" s="5">
        <v>41681</v>
      </c>
      <c r="C141" s="1" t="s">
        <v>1019</v>
      </c>
      <c r="D141" s="6">
        <v>180000000</v>
      </c>
      <c r="E141" s="1" t="s">
        <v>338</v>
      </c>
      <c r="F141" s="1" t="s">
        <v>33</v>
      </c>
      <c r="G141" s="18">
        <v>500000000</v>
      </c>
      <c r="L141" s="18">
        <v>1000000</v>
      </c>
      <c r="M141" s="3">
        <f>O141+1.7%</f>
        <v>2.1000000000000001E-2</v>
      </c>
      <c r="N141" s="17" t="s">
        <v>335</v>
      </c>
      <c r="O141" s="3">
        <v>4.0000000000000001E-3</v>
      </c>
      <c r="Q141" s="5">
        <v>43872</v>
      </c>
      <c r="R141" s="5">
        <v>44238</v>
      </c>
      <c r="S141" s="4">
        <f>(Q141-B141)/365.24</f>
        <v>5.9987953126711204</v>
      </c>
    </row>
    <row r="142" spans="1:22">
      <c r="A142" s="1" t="s">
        <v>1018</v>
      </c>
      <c r="B142" s="5">
        <v>40648</v>
      </c>
      <c r="C142" s="1" t="s">
        <v>1008</v>
      </c>
      <c r="D142" s="6">
        <v>70000000</v>
      </c>
      <c r="E142" s="1" t="s">
        <v>338</v>
      </c>
      <c r="F142" s="1" t="s">
        <v>33</v>
      </c>
      <c r="G142" s="18">
        <v>700000000</v>
      </c>
      <c r="L142" s="18">
        <v>1000000</v>
      </c>
      <c r="M142" s="3">
        <f>O142+2.68%</f>
        <v>3.15E-2</v>
      </c>
      <c r="N142" s="17" t="s">
        <v>335</v>
      </c>
      <c r="O142" s="3">
        <v>4.7000000000000002E-3</v>
      </c>
      <c r="Q142" s="5">
        <v>41744</v>
      </c>
      <c r="R142" s="5">
        <v>42078</v>
      </c>
      <c r="S142" s="4">
        <f>(Q142-B142)/365.24</f>
        <v>3.000766619209287</v>
      </c>
    </row>
    <row r="143" spans="1:22">
      <c r="A143" s="1" t="s">
        <v>1017</v>
      </c>
      <c r="B143" s="5">
        <v>40697</v>
      </c>
      <c r="C143" s="1" t="s">
        <v>1008</v>
      </c>
      <c r="D143" s="6">
        <v>70000000</v>
      </c>
      <c r="E143" s="1" t="s">
        <v>338</v>
      </c>
      <c r="F143" s="1" t="s">
        <v>33</v>
      </c>
      <c r="G143" s="18">
        <v>700000000</v>
      </c>
      <c r="L143" s="18">
        <v>500000</v>
      </c>
      <c r="M143" s="3">
        <f>O143+2.88%</f>
        <v>3.2899999999999999E-2</v>
      </c>
      <c r="N143" s="17" t="s">
        <v>335</v>
      </c>
      <c r="O143" s="3">
        <v>4.1000000000000003E-3</v>
      </c>
      <c r="Q143" s="5">
        <v>41793</v>
      </c>
      <c r="R143" s="5">
        <v>42158</v>
      </c>
      <c r="S143" s="4">
        <f>(Q143-B143)/365.24</f>
        <v>3.000766619209287</v>
      </c>
    </row>
    <row r="144" spans="1:22">
      <c r="A144" s="1" t="s">
        <v>1016</v>
      </c>
      <c r="B144" s="5">
        <v>40724</v>
      </c>
      <c r="C144" s="1" t="s">
        <v>1008</v>
      </c>
      <c r="D144" s="6">
        <v>70000000</v>
      </c>
      <c r="E144" s="1" t="s">
        <v>338</v>
      </c>
      <c r="F144" s="1" t="s">
        <v>33</v>
      </c>
      <c r="G144" s="18">
        <v>700000000</v>
      </c>
      <c r="L144" s="18">
        <v>500000</v>
      </c>
      <c r="M144" s="3">
        <f>O144+2.92%</f>
        <v>3.4599999999999999E-2</v>
      </c>
      <c r="N144" s="17" t="s">
        <v>335</v>
      </c>
      <c r="O144" s="3">
        <v>5.4000000000000003E-3</v>
      </c>
      <c r="Q144" s="5">
        <v>42185</v>
      </c>
      <c r="R144" s="5">
        <v>42551</v>
      </c>
      <c r="S144" s="4">
        <f>(Q144-B144)/365.24</f>
        <v>4.0001095170298981</v>
      </c>
    </row>
    <row r="145" spans="1:19">
      <c r="A145" s="1" t="s">
        <v>1015</v>
      </c>
      <c r="B145" s="5">
        <v>40868</v>
      </c>
      <c r="C145" s="1" t="s">
        <v>1008</v>
      </c>
      <c r="D145" s="6">
        <v>70000000</v>
      </c>
      <c r="E145" s="1" t="s">
        <v>338</v>
      </c>
      <c r="F145" s="1" t="s">
        <v>33</v>
      </c>
      <c r="G145" s="18">
        <v>1000000000</v>
      </c>
      <c r="L145" s="18">
        <v>500000</v>
      </c>
      <c r="M145" s="3">
        <f>O145+3.26%</f>
        <v>4.1899999999999993E-2</v>
      </c>
      <c r="N145" s="17" t="s">
        <v>335</v>
      </c>
      <c r="O145" s="3">
        <v>9.2999999999999992E-3</v>
      </c>
      <c r="Q145" s="5">
        <v>42695</v>
      </c>
      <c r="R145" s="5">
        <v>43060</v>
      </c>
      <c r="S145" s="4">
        <f>(Q145-B145)/365.24</f>
        <v>5.0021903405979629</v>
      </c>
    </row>
    <row r="146" spans="1:19">
      <c r="A146" s="1" t="s">
        <v>1014</v>
      </c>
      <c r="B146" s="5">
        <v>41010</v>
      </c>
      <c r="C146" s="1" t="s">
        <v>1008</v>
      </c>
      <c r="D146" s="6">
        <v>100000000</v>
      </c>
      <c r="E146" s="1" t="s">
        <v>338</v>
      </c>
      <c r="F146" s="1" t="s">
        <v>33</v>
      </c>
      <c r="G146" s="18">
        <v>1000000000</v>
      </c>
      <c r="L146" s="18">
        <v>1000000</v>
      </c>
      <c r="M146" s="3">
        <f>O146+2.33%</f>
        <v>3.3300000000000003E-2</v>
      </c>
      <c r="N146" s="17" t="s">
        <v>335</v>
      </c>
      <c r="O146" s="3">
        <v>0.01</v>
      </c>
      <c r="Q146" s="5">
        <v>42836</v>
      </c>
      <c r="R146" s="5">
        <v>43201</v>
      </c>
      <c r="S146" s="4">
        <f>(Q146-B146)/365.24</f>
        <v>4.9994524148505093</v>
      </c>
    </row>
    <row r="147" spans="1:19">
      <c r="A147" s="1" t="s">
        <v>1013</v>
      </c>
      <c r="B147" s="5">
        <v>41173</v>
      </c>
      <c r="C147" s="1" t="s">
        <v>1008</v>
      </c>
      <c r="D147" s="6">
        <v>100000000</v>
      </c>
      <c r="E147" s="1" t="s">
        <v>338</v>
      </c>
      <c r="F147" s="1" t="s">
        <v>33</v>
      </c>
      <c r="G147" s="18">
        <v>1000000000</v>
      </c>
      <c r="L147" s="18">
        <v>1000000</v>
      </c>
      <c r="M147" s="3">
        <f>O147+1.9%</f>
        <v>2.7999999999999997E-2</v>
      </c>
      <c r="N147" s="17" t="s">
        <v>335</v>
      </c>
      <c r="O147" s="3">
        <v>8.9999999999999993E-3</v>
      </c>
      <c r="Q147" s="5">
        <v>43364</v>
      </c>
      <c r="R147" s="5">
        <v>43731</v>
      </c>
      <c r="S147" s="4">
        <f>(Q147-B147)/365.24</f>
        <v>5.9987953126711204</v>
      </c>
    </row>
    <row r="148" spans="1:19">
      <c r="A148" s="1" t="s">
        <v>1012</v>
      </c>
      <c r="B148" s="5">
        <v>41219</v>
      </c>
      <c r="C148" s="1" t="s">
        <v>1008</v>
      </c>
      <c r="D148" s="6">
        <v>100000000</v>
      </c>
      <c r="E148" s="1" t="s">
        <v>338</v>
      </c>
      <c r="F148" s="1" t="s">
        <v>33</v>
      </c>
      <c r="G148" s="18">
        <v>1000000000</v>
      </c>
      <c r="L148" s="18">
        <v>1000000</v>
      </c>
      <c r="M148" s="3">
        <f>O148+1.88%</f>
        <v>2.4299999999999995E-2</v>
      </c>
      <c r="N148" s="17" t="s">
        <v>335</v>
      </c>
      <c r="O148" s="3">
        <v>5.4999999999999997E-3</v>
      </c>
      <c r="Q148" s="5">
        <v>43591</v>
      </c>
      <c r="R148" s="5">
        <v>43957</v>
      </c>
      <c r="S148" s="4">
        <f>(Q148-B148)/365.24</f>
        <v>6.4943598729602448</v>
      </c>
    </row>
    <row r="149" spans="1:19">
      <c r="A149" s="1" t="s">
        <v>1011</v>
      </c>
      <c r="B149" s="5">
        <v>41402</v>
      </c>
      <c r="C149" s="1" t="s">
        <v>1008</v>
      </c>
      <c r="D149" s="6">
        <v>190000000</v>
      </c>
      <c r="E149" s="1" t="s">
        <v>338</v>
      </c>
      <c r="F149" s="1" t="s">
        <v>17</v>
      </c>
      <c r="G149" s="18">
        <v>1500000000</v>
      </c>
      <c r="L149" s="18">
        <v>1000000</v>
      </c>
      <c r="M149" s="3">
        <v>3.5999999999999997E-2</v>
      </c>
      <c r="Q149" s="5">
        <v>45785</v>
      </c>
      <c r="R149" s="5">
        <v>46150</v>
      </c>
      <c r="S149" s="4">
        <f>(Q149-B149)/365.24</f>
        <v>12.000328551089694</v>
      </c>
    </row>
    <row r="150" spans="1:19">
      <c r="A150" s="1" t="s">
        <v>1010</v>
      </c>
      <c r="B150" s="5">
        <v>41428</v>
      </c>
      <c r="C150" s="1" t="s">
        <v>1008</v>
      </c>
      <c r="D150" s="6">
        <v>190000000</v>
      </c>
      <c r="E150" s="1" t="s">
        <v>338</v>
      </c>
      <c r="F150" s="1" t="s">
        <v>33</v>
      </c>
      <c r="G150" s="18">
        <v>1500000000</v>
      </c>
      <c r="L150" s="18">
        <v>1000000</v>
      </c>
      <c r="M150" s="3">
        <f>O150+1.77%</f>
        <v>2.2700000000000001E-2</v>
      </c>
      <c r="N150" s="17" t="s">
        <v>335</v>
      </c>
      <c r="O150" s="3">
        <v>5.0000000000000001E-3</v>
      </c>
      <c r="Q150" s="5">
        <v>43893</v>
      </c>
      <c r="R150" s="5">
        <v>44258</v>
      </c>
      <c r="S150" s="4">
        <f>(Q150-B150)/365.24</f>
        <v>6.7489869674734422</v>
      </c>
    </row>
    <row r="151" spans="1:19">
      <c r="A151" s="1" t="s">
        <v>1009</v>
      </c>
      <c r="B151" s="5">
        <v>41528</v>
      </c>
      <c r="C151" s="1" t="s">
        <v>1008</v>
      </c>
      <c r="D151" s="6">
        <v>190000000</v>
      </c>
      <c r="E151" s="1" t="s">
        <v>338</v>
      </c>
      <c r="F151" s="1" t="s">
        <v>33</v>
      </c>
      <c r="G151" s="18">
        <v>1500000000</v>
      </c>
      <c r="L151" s="18">
        <v>1000000</v>
      </c>
      <c r="M151" s="3">
        <f>O151+1.73%</f>
        <v>2.3E-2</v>
      </c>
      <c r="N151" s="17" t="s">
        <v>335</v>
      </c>
      <c r="O151" s="3">
        <v>5.7000000000000002E-3</v>
      </c>
      <c r="Q151" s="5">
        <v>44085</v>
      </c>
      <c r="R151" s="5">
        <v>44452</v>
      </c>
      <c r="S151" s="4">
        <f>(Q151-B151)/365.24</f>
        <v>7.0008761362391851</v>
      </c>
    </row>
    <row r="152" spans="1:19">
      <c r="A152" s="1" t="s">
        <v>1007</v>
      </c>
      <c r="B152" s="5">
        <v>41317</v>
      </c>
      <c r="C152" s="1" t="s">
        <v>1002</v>
      </c>
      <c r="D152" s="6">
        <v>19520000000</v>
      </c>
      <c r="E152" s="1" t="s">
        <v>338</v>
      </c>
      <c r="F152" s="1" t="s">
        <v>5</v>
      </c>
      <c r="G152" s="18">
        <v>1000000000</v>
      </c>
      <c r="L152" s="18">
        <v>1000000</v>
      </c>
      <c r="M152" s="3">
        <f>O152+1.93%</f>
        <v>2.7299999999999998E-2</v>
      </c>
      <c r="N152" s="17" t="s">
        <v>335</v>
      </c>
      <c r="O152" s="3">
        <v>8.0000000000000002E-3</v>
      </c>
      <c r="Q152" s="5">
        <v>42412</v>
      </c>
      <c r="S152" s="4">
        <f>(Q152-B152)/365.24</f>
        <v>2.9980286934618334</v>
      </c>
    </row>
    <row r="153" spans="1:19">
      <c r="A153" s="1" t="s">
        <v>1006</v>
      </c>
      <c r="B153" s="5">
        <v>41387</v>
      </c>
      <c r="C153" s="1" t="s">
        <v>1002</v>
      </c>
      <c r="D153" s="6">
        <v>19520000000</v>
      </c>
      <c r="E153" s="1" t="s">
        <v>338</v>
      </c>
      <c r="F153" s="1" t="s">
        <v>5</v>
      </c>
      <c r="G153" s="18">
        <v>1000000000</v>
      </c>
      <c r="L153" s="18">
        <v>1000000</v>
      </c>
      <c r="M153" s="3">
        <f>O153+1.77%</f>
        <v>2.75E-2</v>
      </c>
      <c r="N153" s="17" t="s">
        <v>335</v>
      </c>
      <c r="O153" s="3">
        <v>9.7999999999999997E-3</v>
      </c>
      <c r="Q153" s="5">
        <v>43213</v>
      </c>
      <c r="S153" s="4">
        <f>(Q153-B153)/365.24</f>
        <v>4.9994524148505093</v>
      </c>
    </row>
    <row r="154" spans="1:19">
      <c r="A154" s="1" t="s">
        <v>1005</v>
      </c>
      <c r="B154" s="5">
        <v>41404</v>
      </c>
      <c r="C154" s="1" t="s">
        <v>1002</v>
      </c>
      <c r="D154" s="6">
        <v>19520000000</v>
      </c>
      <c r="E154" s="1" t="s">
        <v>338</v>
      </c>
      <c r="F154" s="1" t="s">
        <v>5</v>
      </c>
      <c r="G154" s="18">
        <v>1000000000</v>
      </c>
      <c r="L154" s="18">
        <v>1000000</v>
      </c>
      <c r="M154" s="3">
        <f>O154</f>
        <v>8.6E-3</v>
      </c>
      <c r="N154" s="17" t="s">
        <v>335</v>
      </c>
      <c r="O154" s="3">
        <v>8.6E-3</v>
      </c>
      <c r="Q154" s="5">
        <v>43049</v>
      </c>
      <c r="S154" s="4">
        <f>(Q154-B154)/365.24</f>
        <v>4.5038878545613841</v>
      </c>
    </row>
    <row r="155" spans="1:19">
      <c r="A155" s="1" t="s">
        <v>1004</v>
      </c>
      <c r="B155" s="5">
        <v>41418</v>
      </c>
      <c r="C155" s="1" t="s">
        <v>1002</v>
      </c>
      <c r="D155" s="6">
        <v>19520000000</v>
      </c>
      <c r="E155" s="1" t="s">
        <v>338</v>
      </c>
      <c r="F155" s="1" t="s">
        <v>17</v>
      </c>
      <c r="G155" s="18">
        <v>1000000000</v>
      </c>
      <c r="L155" s="18">
        <v>1000000</v>
      </c>
      <c r="M155" s="3">
        <v>3.4000000000000002E-2</v>
      </c>
      <c r="Q155" s="5">
        <v>43609</v>
      </c>
      <c r="S155" s="4">
        <f>(Q155-B155)/365.24</f>
        <v>5.9987953126711204</v>
      </c>
    </row>
    <row r="156" spans="1:19">
      <c r="A156" s="1" t="s">
        <v>1003</v>
      </c>
      <c r="B156" s="5">
        <v>41535</v>
      </c>
      <c r="C156" s="1" t="s">
        <v>1002</v>
      </c>
      <c r="D156" s="6">
        <v>19520000000</v>
      </c>
      <c r="E156" s="1" t="s">
        <v>338</v>
      </c>
      <c r="F156" s="1" t="s">
        <v>5</v>
      </c>
      <c r="G156" s="18">
        <v>1000000000</v>
      </c>
      <c r="L156" s="18">
        <v>1000000</v>
      </c>
      <c r="M156" s="3">
        <f>O156+1.73%</f>
        <v>2.35E-2</v>
      </c>
      <c r="N156" s="17" t="s">
        <v>335</v>
      </c>
      <c r="O156" s="3">
        <v>6.1999999999999998E-3</v>
      </c>
      <c r="Q156" s="5">
        <v>42692</v>
      </c>
      <c r="S156" s="4">
        <f>(Q156-B156)/365.24</f>
        <v>3.1677800898039643</v>
      </c>
    </row>
    <row r="157" spans="1:19">
      <c r="A157" s="1" t="s">
        <v>1001</v>
      </c>
      <c r="B157" s="5">
        <v>40703</v>
      </c>
      <c r="C157" s="29" t="s">
        <v>1000</v>
      </c>
      <c r="D157" s="6">
        <v>80000000</v>
      </c>
      <c r="E157" s="1" t="s">
        <v>53</v>
      </c>
      <c r="F157" s="1" t="s">
        <v>17</v>
      </c>
      <c r="G157" s="18">
        <f>60000000*6</f>
        <v>360000000</v>
      </c>
      <c r="L157" s="18" t="s">
        <v>999</v>
      </c>
      <c r="M157" s="3">
        <v>0.13</v>
      </c>
      <c r="Q157" s="5">
        <v>42164</v>
      </c>
      <c r="S157" s="4">
        <f>(Q157-B157)/365.24</f>
        <v>4.0001095170298981</v>
      </c>
    </row>
    <row r="158" spans="1:19">
      <c r="A158" s="1" t="s">
        <v>998</v>
      </c>
      <c r="B158" s="5">
        <v>41211</v>
      </c>
      <c r="C158" s="1" t="s">
        <v>995</v>
      </c>
      <c r="D158" s="6">
        <v>110000000</v>
      </c>
      <c r="E158" s="1" t="s">
        <v>338</v>
      </c>
      <c r="F158" s="1" t="s">
        <v>5</v>
      </c>
      <c r="G158" s="18">
        <v>200000000</v>
      </c>
      <c r="L158" s="18">
        <v>500000</v>
      </c>
      <c r="M158" s="3">
        <f>O158+1.86%</f>
        <v>3.1600000000000003E-2</v>
      </c>
      <c r="N158" s="17" t="s">
        <v>335</v>
      </c>
      <c r="O158" s="3">
        <v>1.2999999999999999E-2</v>
      </c>
      <c r="Q158" s="5">
        <v>42489</v>
      </c>
      <c r="S158" s="4">
        <f>(Q158-B158)/365.24</f>
        <v>3.4990691052458658</v>
      </c>
    </row>
    <row r="159" spans="1:19">
      <c r="A159" s="1" t="s">
        <v>997</v>
      </c>
      <c r="B159" s="5">
        <v>41564</v>
      </c>
      <c r="C159" s="1" t="s">
        <v>995</v>
      </c>
      <c r="D159" s="6">
        <v>120000000</v>
      </c>
      <c r="E159" s="1" t="s">
        <v>338</v>
      </c>
      <c r="F159" s="1" t="s">
        <v>5</v>
      </c>
      <c r="G159" s="18">
        <v>150000000</v>
      </c>
      <c r="L159" s="18">
        <v>500000</v>
      </c>
      <c r="M159" s="3">
        <f>O159+1.7%</f>
        <v>2.6200000000000001E-2</v>
      </c>
      <c r="N159" s="17" t="s">
        <v>335</v>
      </c>
      <c r="O159" s="3">
        <v>9.1999999999999998E-3</v>
      </c>
      <c r="Q159" s="5">
        <v>42811</v>
      </c>
      <c r="S159" s="4">
        <f>(Q159-B159)/365.24</f>
        <v>3.4141934070748001</v>
      </c>
    </row>
    <row r="160" spans="1:19">
      <c r="A160" s="1" t="s">
        <v>996</v>
      </c>
      <c r="B160" s="5">
        <v>41570</v>
      </c>
      <c r="C160" s="1" t="s">
        <v>995</v>
      </c>
      <c r="D160" s="6">
        <v>120000000</v>
      </c>
      <c r="E160" s="1" t="s">
        <v>338</v>
      </c>
      <c r="F160" s="1" t="s">
        <v>5</v>
      </c>
      <c r="G160" s="18">
        <v>150000000</v>
      </c>
      <c r="L160" s="18">
        <v>500000</v>
      </c>
      <c r="M160" s="3">
        <f>O160+1.67%</f>
        <v>2.7200000000000002E-2</v>
      </c>
      <c r="N160" s="17" t="s">
        <v>335</v>
      </c>
      <c r="O160" s="3">
        <v>1.0500000000000001E-2</v>
      </c>
      <c r="Q160" s="5">
        <v>43396</v>
      </c>
      <c r="S160" s="4">
        <f>(Q160-B160)/365.24</f>
        <v>4.9994524148505093</v>
      </c>
    </row>
    <row r="161" spans="1:19">
      <c r="A161" s="1" t="s">
        <v>994</v>
      </c>
      <c r="B161" s="5">
        <v>41220</v>
      </c>
      <c r="C161" s="1" t="s">
        <v>993</v>
      </c>
      <c r="D161" s="6">
        <v>110000000</v>
      </c>
      <c r="E161" s="1" t="s">
        <v>338</v>
      </c>
      <c r="F161" s="1" t="s">
        <v>5</v>
      </c>
      <c r="G161" s="18">
        <v>200000000</v>
      </c>
      <c r="L161" s="18">
        <v>100000</v>
      </c>
      <c r="M161" s="3">
        <f>O161</f>
        <v>5.0000000000000001E-3</v>
      </c>
      <c r="N161" s="17" t="s">
        <v>335</v>
      </c>
      <c r="O161" s="3">
        <v>5.0000000000000001E-3</v>
      </c>
      <c r="Q161" s="5">
        <v>41736</v>
      </c>
      <c r="S161" s="4">
        <f>(Q161-B161)/365.24</f>
        <v>1.4127696856861243</v>
      </c>
    </row>
    <row r="162" spans="1:19">
      <c r="A162" s="1" t="s">
        <v>992</v>
      </c>
      <c r="B162" s="5">
        <v>41151</v>
      </c>
      <c r="C162" s="1" t="s">
        <v>990</v>
      </c>
      <c r="D162" s="6">
        <v>1370000000</v>
      </c>
      <c r="E162" s="1" t="s">
        <v>53</v>
      </c>
      <c r="F162" s="1" t="s">
        <v>5</v>
      </c>
      <c r="G162" s="18">
        <v>500000000</v>
      </c>
      <c r="L162" s="18">
        <v>1000000</v>
      </c>
      <c r="M162" s="3">
        <f>O162+2.07%</f>
        <v>0.1057</v>
      </c>
      <c r="N162" s="17" t="s">
        <v>335</v>
      </c>
      <c r="O162" s="3">
        <v>8.5000000000000006E-2</v>
      </c>
      <c r="Q162" s="5">
        <v>42612</v>
      </c>
      <c r="S162" s="4">
        <f>(Q162-B162)/365.24</f>
        <v>4.0001095170298981</v>
      </c>
    </row>
    <row r="163" spans="1:19">
      <c r="A163" s="1" t="s">
        <v>991</v>
      </c>
      <c r="B163" s="5">
        <v>41263</v>
      </c>
      <c r="C163" s="1" t="s">
        <v>990</v>
      </c>
      <c r="D163" s="6">
        <v>1370000000</v>
      </c>
      <c r="E163" s="1" t="s">
        <v>53</v>
      </c>
      <c r="F163" s="1" t="s">
        <v>5</v>
      </c>
      <c r="G163" s="18">
        <v>100000000</v>
      </c>
      <c r="L163" s="18">
        <v>1000000</v>
      </c>
      <c r="M163" s="3">
        <f>O163+1.83%</f>
        <v>9.3299999999999994E-2</v>
      </c>
      <c r="N163" s="17" t="s">
        <v>335</v>
      </c>
      <c r="O163" s="3">
        <v>7.4999999999999997E-2</v>
      </c>
      <c r="Q163" s="5">
        <v>42094</v>
      </c>
      <c r="S163" s="4">
        <f>(Q163-B163)/365.24</f>
        <v>2.2752162961340487</v>
      </c>
    </row>
    <row r="164" spans="1:19">
      <c r="A164" s="1" t="s">
        <v>989</v>
      </c>
      <c r="B164" s="5">
        <v>40779</v>
      </c>
      <c r="C164" s="1" t="s">
        <v>983</v>
      </c>
      <c r="D164" s="6">
        <v>90000000</v>
      </c>
      <c r="E164" s="1" t="s">
        <v>338</v>
      </c>
      <c r="F164" s="1" t="s">
        <v>33</v>
      </c>
      <c r="G164" s="18">
        <v>500000000</v>
      </c>
      <c r="L164" s="18">
        <v>500000</v>
      </c>
      <c r="M164" s="3">
        <f>O164+3.07%</f>
        <v>3.7399999999999996E-2</v>
      </c>
      <c r="N164" s="17" t="s">
        <v>335</v>
      </c>
      <c r="O164" s="3">
        <v>6.7000000000000002E-3</v>
      </c>
      <c r="Q164" s="5">
        <v>42971</v>
      </c>
      <c r="R164" s="5">
        <v>43336</v>
      </c>
      <c r="S164" s="4">
        <f>(Q164-B164)/365.24</f>
        <v>6.001533238418574</v>
      </c>
    </row>
    <row r="165" spans="1:19">
      <c r="A165" s="1" t="s">
        <v>988</v>
      </c>
      <c r="B165" s="5">
        <v>40857</v>
      </c>
      <c r="C165" s="1" t="s">
        <v>983</v>
      </c>
      <c r="D165" s="6">
        <v>90000000</v>
      </c>
      <c r="E165" s="1" t="s">
        <v>338</v>
      </c>
      <c r="F165" s="1" t="s">
        <v>33</v>
      </c>
      <c r="G165" s="18">
        <v>500000000</v>
      </c>
      <c r="L165" s="18">
        <v>500000</v>
      </c>
      <c r="M165" s="3">
        <f>O165+3.15%</f>
        <v>3.95E-2</v>
      </c>
      <c r="N165" s="17" t="s">
        <v>335</v>
      </c>
      <c r="O165" s="3">
        <v>8.0000000000000002E-3</v>
      </c>
      <c r="Q165" s="5">
        <v>42318</v>
      </c>
      <c r="R165" s="5">
        <v>42684</v>
      </c>
      <c r="S165" s="4">
        <f>(Q165-B165)/365.24</f>
        <v>4.0001095170298981</v>
      </c>
    </row>
    <row r="166" spans="1:19">
      <c r="A166" s="1" t="s">
        <v>987</v>
      </c>
      <c r="B166" s="5">
        <v>40928</v>
      </c>
      <c r="C166" s="1" t="s">
        <v>983</v>
      </c>
      <c r="D166" s="6">
        <v>140000000</v>
      </c>
      <c r="E166" s="1" t="s">
        <v>338</v>
      </c>
      <c r="F166" s="1" t="s">
        <v>33</v>
      </c>
      <c r="G166" s="18">
        <v>500000000</v>
      </c>
      <c r="L166" s="18">
        <v>500000</v>
      </c>
      <c r="M166" s="3">
        <f>O166+2.65%</f>
        <v>3.4000000000000002E-2</v>
      </c>
      <c r="N166" s="17" t="s">
        <v>335</v>
      </c>
      <c r="O166" s="3">
        <v>7.4999999999999997E-3</v>
      </c>
      <c r="Q166" s="5">
        <v>42024</v>
      </c>
      <c r="R166" s="5">
        <v>42389</v>
      </c>
      <c r="S166" s="4">
        <f>(Q166-B166)/365.24</f>
        <v>3.000766619209287</v>
      </c>
    </row>
    <row r="167" spans="1:19">
      <c r="A167" s="1" t="s">
        <v>986</v>
      </c>
      <c r="B167" s="5">
        <v>41037</v>
      </c>
      <c r="C167" s="1" t="s">
        <v>983</v>
      </c>
      <c r="D167" s="6">
        <v>140000000</v>
      </c>
      <c r="E167" s="1" t="s">
        <v>338</v>
      </c>
      <c r="F167" s="1" t="s">
        <v>33</v>
      </c>
      <c r="G167" s="18">
        <v>500000000</v>
      </c>
      <c r="L167" s="18">
        <v>500000</v>
      </c>
      <c r="M167" s="3">
        <f>O167+2.33%</f>
        <v>3.3300000000000003E-2</v>
      </c>
      <c r="N167" s="17" t="s">
        <v>335</v>
      </c>
      <c r="O167" s="3">
        <v>0.01</v>
      </c>
      <c r="Q167" s="5">
        <v>42863</v>
      </c>
      <c r="R167" s="5">
        <v>43228</v>
      </c>
      <c r="S167" s="4">
        <f>(Q167-B167)/365.24</f>
        <v>4.9994524148505093</v>
      </c>
    </row>
    <row r="168" spans="1:19">
      <c r="A168" s="1" t="s">
        <v>985</v>
      </c>
      <c r="B168" s="5">
        <v>41179</v>
      </c>
      <c r="C168" s="1" t="s">
        <v>983</v>
      </c>
      <c r="D168" s="6">
        <v>140000000</v>
      </c>
      <c r="E168" s="1" t="s">
        <v>338</v>
      </c>
      <c r="F168" s="1" t="s">
        <v>33</v>
      </c>
      <c r="G168" s="18">
        <v>500000000</v>
      </c>
      <c r="L168" s="18">
        <v>100000</v>
      </c>
      <c r="M168" s="3">
        <f>O168+1.96%</f>
        <v>2.81E-2</v>
      </c>
      <c r="N168" s="17" t="s">
        <v>335</v>
      </c>
      <c r="O168" s="3">
        <v>8.5000000000000006E-3</v>
      </c>
      <c r="Q168" s="5">
        <v>43186</v>
      </c>
      <c r="R168" s="5">
        <v>43551</v>
      </c>
      <c r="S168" s="4">
        <f>(Q168-B168)/365.24</f>
        <v>5.4950169751396345</v>
      </c>
    </row>
    <row r="169" spans="1:19">
      <c r="A169" s="1" t="s">
        <v>984</v>
      </c>
      <c r="B169" s="5">
        <v>41521</v>
      </c>
      <c r="C169" s="1" t="s">
        <v>983</v>
      </c>
      <c r="D169" s="6">
        <v>190000000</v>
      </c>
      <c r="E169" s="1" t="s">
        <v>338</v>
      </c>
      <c r="F169" s="1" t="s">
        <v>33</v>
      </c>
      <c r="G169" s="18">
        <v>500000000</v>
      </c>
      <c r="L169" s="18">
        <v>500000</v>
      </c>
      <c r="M169" s="3">
        <f>O169+1.71%</f>
        <v>2.4400000000000002E-2</v>
      </c>
      <c r="N169" s="17" t="s">
        <v>335</v>
      </c>
      <c r="O169" s="3">
        <v>7.3000000000000001E-3</v>
      </c>
      <c r="Q169" s="5">
        <v>43712</v>
      </c>
      <c r="R169" s="5">
        <v>44078</v>
      </c>
      <c r="S169" s="4">
        <f>(Q169-B169)/365.24</f>
        <v>5.9987953126711204</v>
      </c>
    </row>
    <row r="170" spans="1:19">
      <c r="A170" s="1" t="s">
        <v>982</v>
      </c>
      <c r="B170" s="5">
        <v>40583</v>
      </c>
      <c r="C170" s="1" t="s">
        <v>267</v>
      </c>
      <c r="D170" s="6">
        <v>90000000</v>
      </c>
      <c r="E170" s="1" t="s">
        <v>338</v>
      </c>
      <c r="F170" s="1" t="s">
        <v>17</v>
      </c>
      <c r="G170" s="18">
        <v>500000000</v>
      </c>
      <c r="L170" s="18">
        <v>500000</v>
      </c>
      <c r="M170" s="3">
        <v>0.05</v>
      </c>
      <c r="Q170" s="5">
        <v>42409</v>
      </c>
      <c r="S170" s="4">
        <f>(Q170-B170)/365.24</f>
        <v>4.9994524148505093</v>
      </c>
    </row>
    <row r="171" spans="1:19">
      <c r="A171" s="1" t="s">
        <v>981</v>
      </c>
      <c r="B171" s="5">
        <v>40583</v>
      </c>
      <c r="C171" s="1" t="s">
        <v>267</v>
      </c>
      <c r="D171" s="6">
        <v>90000000</v>
      </c>
      <c r="E171" s="1" t="s">
        <v>338</v>
      </c>
      <c r="F171" s="1" t="s">
        <v>5</v>
      </c>
      <c r="G171" s="18">
        <v>500000000</v>
      </c>
      <c r="L171" s="18">
        <v>500000</v>
      </c>
      <c r="M171" s="3">
        <f>O171+2.58%</f>
        <v>3.4299999999999997E-2</v>
      </c>
      <c r="N171" s="17" t="s">
        <v>335</v>
      </c>
      <c r="O171" s="3">
        <v>8.5000000000000006E-3</v>
      </c>
      <c r="Q171" s="5">
        <v>41768</v>
      </c>
      <c r="S171" s="4">
        <f>(Q171-B171)/365.24</f>
        <v>3.2444420107326688</v>
      </c>
    </row>
    <row r="172" spans="1:19">
      <c r="A172" s="1" t="s">
        <v>980</v>
      </c>
      <c r="B172" s="5">
        <v>40780</v>
      </c>
      <c r="C172" s="1" t="s">
        <v>267</v>
      </c>
      <c r="D172" s="6">
        <v>90000000</v>
      </c>
      <c r="E172" s="1" t="s">
        <v>338</v>
      </c>
      <c r="F172" s="1" t="s">
        <v>5</v>
      </c>
      <c r="G172" s="18">
        <v>500000000</v>
      </c>
      <c r="L172" s="18">
        <v>1000000</v>
      </c>
      <c r="M172" s="3">
        <f>O172+3.09%</f>
        <v>4.4699999999999997E-2</v>
      </c>
      <c r="N172" s="17" t="s">
        <v>335</v>
      </c>
      <c r="O172" s="3">
        <v>1.38E-2</v>
      </c>
      <c r="Q172" s="5">
        <v>42607</v>
      </c>
      <c r="S172" s="4">
        <f>(Q172-B172)/365.24</f>
        <v>5.0021903405979629</v>
      </c>
    </row>
    <row r="173" spans="1:19">
      <c r="A173" s="1" t="s">
        <v>979</v>
      </c>
      <c r="B173" s="5">
        <v>40807</v>
      </c>
      <c r="C173" s="1" t="s">
        <v>267</v>
      </c>
      <c r="D173" s="6">
        <v>90000000</v>
      </c>
      <c r="E173" s="1" t="s">
        <v>338</v>
      </c>
      <c r="F173" s="1" t="s">
        <v>5</v>
      </c>
      <c r="G173" s="18">
        <v>500000000</v>
      </c>
      <c r="L173" s="18">
        <v>1000000</v>
      </c>
      <c r="M173" s="3">
        <f>O173+3.06%</f>
        <v>4.2599999999999999E-2</v>
      </c>
      <c r="N173" s="17" t="s">
        <v>335</v>
      </c>
      <c r="O173" s="3">
        <v>1.2E-2</v>
      </c>
      <c r="Q173" s="5">
        <v>41964</v>
      </c>
      <c r="S173" s="4">
        <f>(Q173-B173)/365.24</f>
        <v>3.1677800898039643</v>
      </c>
    </row>
    <row r="174" spans="1:19">
      <c r="A174" s="1" t="s">
        <v>978</v>
      </c>
      <c r="B174" s="5">
        <v>40934</v>
      </c>
      <c r="C174" s="1" t="s">
        <v>267</v>
      </c>
      <c r="D174" s="6">
        <v>140000000</v>
      </c>
      <c r="E174" s="1" t="s">
        <v>338</v>
      </c>
      <c r="F174" s="1" t="s">
        <v>17</v>
      </c>
      <c r="G174" s="18">
        <v>500000000</v>
      </c>
      <c r="L174" s="18">
        <v>500000</v>
      </c>
      <c r="M174" s="3">
        <v>0.04</v>
      </c>
      <c r="Q174" s="5">
        <v>42132</v>
      </c>
      <c r="S174" s="4">
        <f>(Q174-B174)/365.24</f>
        <v>3.2800350454495675</v>
      </c>
    </row>
    <row r="175" spans="1:19">
      <c r="A175" s="1" t="s">
        <v>977</v>
      </c>
      <c r="B175" s="5">
        <v>40983</v>
      </c>
      <c r="C175" s="1" t="s">
        <v>267</v>
      </c>
      <c r="D175" s="6">
        <v>140000000</v>
      </c>
      <c r="E175" s="1" t="s">
        <v>338</v>
      </c>
      <c r="F175" s="1" t="s">
        <v>5</v>
      </c>
      <c r="G175" s="18">
        <v>500000000</v>
      </c>
      <c r="L175" s="18">
        <v>1000000</v>
      </c>
      <c r="M175" s="3">
        <f>O175+2.33%</f>
        <v>4.0300000000000002E-2</v>
      </c>
      <c r="N175" s="17" t="s">
        <v>335</v>
      </c>
      <c r="O175" s="3">
        <v>1.7000000000000001E-2</v>
      </c>
      <c r="Q175" s="5">
        <v>42809</v>
      </c>
      <c r="S175" s="4">
        <f>(Q175-B175)/365.24</f>
        <v>4.9994524148505093</v>
      </c>
    </row>
    <row r="176" spans="1:19">
      <c r="A176" s="1" t="s">
        <v>976</v>
      </c>
      <c r="B176" s="5">
        <v>41094</v>
      </c>
      <c r="C176" s="1" t="s">
        <v>267</v>
      </c>
      <c r="D176" s="6">
        <v>140000000</v>
      </c>
      <c r="E176" s="1" t="s">
        <v>338</v>
      </c>
      <c r="F176" s="1" t="s">
        <v>17</v>
      </c>
      <c r="G176" s="18">
        <v>500000000</v>
      </c>
      <c r="L176" s="18">
        <v>1000000</v>
      </c>
      <c r="M176" s="3">
        <v>4.7600000000000003E-2</v>
      </c>
      <c r="Q176" s="5">
        <v>42920</v>
      </c>
      <c r="S176" s="4">
        <f>(Q176-B176)/365.24</f>
        <v>4.9994524148505093</v>
      </c>
    </row>
    <row r="177" spans="1:22">
      <c r="A177" s="1" t="s">
        <v>975</v>
      </c>
      <c r="B177" s="5">
        <v>41162</v>
      </c>
      <c r="C177" s="1" t="s">
        <v>267</v>
      </c>
      <c r="D177" s="6">
        <v>140000000</v>
      </c>
      <c r="E177" s="1" t="s">
        <v>338</v>
      </c>
      <c r="F177" s="1" t="s">
        <v>17</v>
      </c>
      <c r="G177" s="18">
        <v>500000000</v>
      </c>
      <c r="L177" s="18">
        <v>500000</v>
      </c>
      <c r="M177" s="3">
        <v>3.7199999999999997E-2</v>
      </c>
      <c r="Q177" s="5">
        <v>42709</v>
      </c>
      <c r="S177" s="4">
        <f>(Q177-B177)/365.24</f>
        <v>4.2355711313109188</v>
      </c>
    </row>
    <row r="178" spans="1:22">
      <c r="A178" s="1" t="s">
        <v>974</v>
      </c>
      <c r="B178" s="5">
        <v>41291</v>
      </c>
      <c r="C178" s="1" t="s">
        <v>267</v>
      </c>
      <c r="D178" s="6">
        <v>190000000</v>
      </c>
      <c r="E178" s="1" t="s">
        <v>338</v>
      </c>
      <c r="F178" s="1" t="s">
        <v>5</v>
      </c>
      <c r="G178" s="18">
        <v>500000000</v>
      </c>
      <c r="L178" s="18">
        <v>500000</v>
      </c>
      <c r="M178" s="3">
        <f>O178+1.86%</f>
        <v>2.9100000000000001E-2</v>
      </c>
      <c r="N178" s="17" t="s">
        <v>335</v>
      </c>
      <c r="O178" s="3">
        <v>1.0500000000000001E-2</v>
      </c>
      <c r="Q178" s="5">
        <v>43117</v>
      </c>
      <c r="S178" s="4">
        <f>(Q178-B178)/365.24</f>
        <v>4.9994524148505093</v>
      </c>
    </row>
    <row r="179" spans="1:22">
      <c r="A179" s="1" t="s">
        <v>973</v>
      </c>
      <c r="B179" s="5">
        <v>41379</v>
      </c>
      <c r="C179" s="1" t="s">
        <v>267</v>
      </c>
      <c r="D179" s="6">
        <v>190000000</v>
      </c>
      <c r="E179" s="1" t="s">
        <v>338</v>
      </c>
      <c r="F179" s="1" t="s">
        <v>17</v>
      </c>
      <c r="G179" s="18">
        <v>500000000</v>
      </c>
      <c r="L179" s="18">
        <v>1000000</v>
      </c>
      <c r="M179" s="3">
        <v>3.3000000000000002E-2</v>
      </c>
      <c r="Q179" s="5">
        <v>43266</v>
      </c>
      <c r="S179" s="4">
        <f>(Q179-B179)/365.24</f>
        <v>5.166465885445187</v>
      </c>
    </row>
    <row r="180" spans="1:22">
      <c r="A180" s="1" t="s">
        <v>972</v>
      </c>
      <c r="B180" s="5">
        <v>41410</v>
      </c>
      <c r="C180" s="1" t="s">
        <v>267</v>
      </c>
      <c r="D180" s="6">
        <v>190000000</v>
      </c>
      <c r="E180" s="1" t="s">
        <v>338</v>
      </c>
      <c r="F180" s="1" t="s">
        <v>5</v>
      </c>
      <c r="G180" s="18">
        <v>500000000</v>
      </c>
      <c r="L180" s="18">
        <v>1000000</v>
      </c>
      <c r="M180" s="3">
        <f>O180</f>
        <v>8.9999999999999993E-3</v>
      </c>
      <c r="N180" s="17" t="s">
        <v>335</v>
      </c>
      <c r="O180" s="3">
        <v>8.9999999999999993E-3</v>
      </c>
      <c r="Q180" s="5">
        <v>43328</v>
      </c>
      <c r="S180" s="4">
        <f>(Q180-B180)/365.24</f>
        <v>5.2513415836162523</v>
      </c>
    </row>
    <row r="181" spans="1:22">
      <c r="A181" s="1" t="s">
        <v>971</v>
      </c>
      <c r="B181" s="5">
        <v>41437</v>
      </c>
      <c r="C181" s="1" t="s">
        <v>267</v>
      </c>
      <c r="D181" s="6">
        <v>190000000</v>
      </c>
      <c r="E181" s="1" t="s">
        <v>338</v>
      </c>
      <c r="F181" s="1" t="s">
        <v>5</v>
      </c>
      <c r="G181" s="18">
        <v>300000000</v>
      </c>
      <c r="L181" s="18">
        <v>1000000</v>
      </c>
      <c r="M181" s="3">
        <f>O181+1.76%</f>
        <v>3.7600000000000001E-2</v>
      </c>
      <c r="N181" s="17" t="s">
        <v>335</v>
      </c>
      <c r="O181" s="3">
        <v>0.02</v>
      </c>
      <c r="Q181" s="5">
        <v>45089</v>
      </c>
      <c r="S181" s="4">
        <f>(Q181-B181)/365.24</f>
        <v>9.9989048297010186</v>
      </c>
      <c r="V181" s="1" t="s">
        <v>56</v>
      </c>
    </row>
    <row r="182" spans="1:22">
      <c r="A182" s="1" t="s">
        <v>970</v>
      </c>
      <c r="B182" s="5">
        <v>41614</v>
      </c>
      <c r="C182" s="1" t="s">
        <v>267</v>
      </c>
      <c r="D182" s="6">
        <v>190000000</v>
      </c>
      <c r="E182" s="1" t="s">
        <v>338</v>
      </c>
      <c r="F182" s="1" t="s">
        <v>17</v>
      </c>
      <c r="G182" s="18">
        <v>500000000</v>
      </c>
      <c r="L182" s="18">
        <v>1000000</v>
      </c>
      <c r="M182" s="3">
        <v>3.3500000000000002E-2</v>
      </c>
      <c r="Q182" s="5">
        <v>43622</v>
      </c>
      <c r="S182" s="4">
        <f>(Q182-B182)/365.24</f>
        <v>5.4977549008870881</v>
      </c>
    </row>
    <row r="183" spans="1:22">
      <c r="A183" s="1" t="s">
        <v>969</v>
      </c>
      <c r="B183" s="5">
        <v>41703</v>
      </c>
      <c r="C183" s="1" t="s">
        <v>267</v>
      </c>
      <c r="D183" s="6">
        <v>210000000</v>
      </c>
      <c r="E183" s="1" t="s">
        <v>338</v>
      </c>
      <c r="F183" s="1" t="s">
        <v>5</v>
      </c>
      <c r="G183" s="18">
        <v>500000000</v>
      </c>
      <c r="L183" s="18">
        <v>1000000</v>
      </c>
      <c r="M183" s="3">
        <f>O183</f>
        <v>4.4999999999999997E-3</v>
      </c>
      <c r="N183" s="17" t="s">
        <v>335</v>
      </c>
      <c r="O183" s="3">
        <v>4.4999999999999997E-3</v>
      </c>
      <c r="Q183" s="5">
        <v>42983</v>
      </c>
      <c r="S183" s="4">
        <f>(Q183-B183)/365.24</f>
        <v>3.5045449567407729</v>
      </c>
    </row>
    <row r="184" spans="1:22">
      <c r="A184" s="1" t="s">
        <v>968</v>
      </c>
      <c r="B184" s="5">
        <v>41206</v>
      </c>
      <c r="C184" s="1" t="s">
        <v>967</v>
      </c>
      <c r="D184" s="6">
        <v>1380000000</v>
      </c>
      <c r="E184" s="1" t="s">
        <v>338</v>
      </c>
      <c r="F184" s="1" t="s">
        <v>17</v>
      </c>
      <c r="G184" s="18">
        <v>600000000</v>
      </c>
      <c r="L184" s="18">
        <v>1000000</v>
      </c>
      <c r="M184" s="3">
        <v>4.7600000000000003E-2</v>
      </c>
      <c r="Q184" s="5">
        <v>44858</v>
      </c>
      <c r="S184" s="4">
        <f>(Q184-B184)/365.24</f>
        <v>9.9989048297010186</v>
      </c>
    </row>
    <row r="185" spans="1:22">
      <c r="A185" s="1" t="s">
        <v>966</v>
      </c>
      <c r="B185" s="5">
        <v>41053</v>
      </c>
      <c r="C185" s="1" t="s">
        <v>962</v>
      </c>
      <c r="D185" s="6">
        <v>67000000</v>
      </c>
      <c r="E185" s="1" t="s">
        <v>338</v>
      </c>
      <c r="F185" s="1" t="s">
        <v>5</v>
      </c>
      <c r="G185" s="18">
        <v>100000000</v>
      </c>
      <c r="L185" s="18">
        <v>500000</v>
      </c>
      <c r="M185" s="3">
        <f>O185+2.33%</f>
        <v>3.9300000000000002E-2</v>
      </c>
      <c r="N185" s="17" t="s">
        <v>335</v>
      </c>
      <c r="O185" s="3">
        <v>1.6E-2</v>
      </c>
      <c r="Q185" s="5">
        <v>42146</v>
      </c>
      <c r="S185" s="4">
        <f>(Q185-B185)/365.24</f>
        <v>2.9925528419669258</v>
      </c>
    </row>
    <row r="186" spans="1:22">
      <c r="A186" s="1" t="s">
        <v>965</v>
      </c>
      <c r="B186" s="5">
        <v>41344</v>
      </c>
      <c r="C186" s="1" t="s">
        <v>962</v>
      </c>
      <c r="D186" s="6">
        <v>70000000</v>
      </c>
      <c r="E186" s="1" t="s">
        <v>338</v>
      </c>
      <c r="F186" s="1" t="s">
        <v>5</v>
      </c>
      <c r="G186" s="18">
        <v>100000000</v>
      </c>
      <c r="L186" s="18">
        <v>500000</v>
      </c>
      <c r="M186" s="3">
        <f>O186+1.84%</f>
        <v>2.8799999999999999E-2</v>
      </c>
      <c r="N186" s="17" t="s">
        <v>335</v>
      </c>
      <c r="O186" s="3">
        <v>1.04E-2</v>
      </c>
      <c r="Q186" s="5">
        <v>42440</v>
      </c>
      <c r="S186" s="4">
        <f>(Q186-B186)/365.24</f>
        <v>3.000766619209287</v>
      </c>
    </row>
    <row r="187" spans="1:22">
      <c r="A187" s="1" t="s">
        <v>964</v>
      </c>
      <c r="B187" s="5">
        <v>41561</v>
      </c>
      <c r="C187" s="1" t="s">
        <v>962</v>
      </c>
      <c r="D187" s="6">
        <v>70000000</v>
      </c>
      <c r="E187" s="1" t="s">
        <v>338</v>
      </c>
      <c r="F187" s="1" t="s">
        <v>5</v>
      </c>
      <c r="G187" s="18">
        <v>100000000</v>
      </c>
      <c r="L187" s="18">
        <v>1000000</v>
      </c>
      <c r="M187" s="3">
        <f>O187+1.69%</f>
        <v>2.5899999999999999E-2</v>
      </c>
      <c r="N187" s="17" t="s">
        <v>335</v>
      </c>
      <c r="O187" s="3">
        <v>8.9999999999999993E-3</v>
      </c>
      <c r="Q187" s="5">
        <v>42657</v>
      </c>
      <c r="S187" s="4">
        <f>(Q187-B187)/365.24</f>
        <v>3.000766619209287</v>
      </c>
    </row>
    <row r="188" spans="1:22">
      <c r="A188" s="1" t="s">
        <v>963</v>
      </c>
      <c r="B188" s="5">
        <v>41674</v>
      </c>
      <c r="C188" s="1" t="s">
        <v>962</v>
      </c>
      <c r="D188" s="6">
        <v>80000000</v>
      </c>
      <c r="E188" s="1" t="s">
        <v>338</v>
      </c>
      <c r="F188" s="1" t="s">
        <v>5</v>
      </c>
      <c r="G188" s="18">
        <v>100000000</v>
      </c>
      <c r="L188" s="18">
        <v>1000000</v>
      </c>
      <c r="M188" s="3">
        <f>O188+1.69%</f>
        <v>2.7400000000000001E-2</v>
      </c>
      <c r="N188" s="17" t="s">
        <v>335</v>
      </c>
      <c r="O188" s="3">
        <v>1.0500000000000001E-2</v>
      </c>
      <c r="Q188" s="5">
        <v>43500</v>
      </c>
      <c r="S188" s="4">
        <f>(Q188-B188)/365.24</f>
        <v>4.9994524148505093</v>
      </c>
    </row>
    <row r="189" spans="1:22">
      <c r="A189" s="1" t="s">
        <v>961</v>
      </c>
      <c r="B189" s="5">
        <v>41071</v>
      </c>
      <c r="C189" s="1" t="s">
        <v>958</v>
      </c>
      <c r="D189" s="6">
        <v>335000000</v>
      </c>
      <c r="E189" s="1" t="s">
        <v>338</v>
      </c>
      <c r="F189" s="1" t="s">
        <v>5</v>
      </c>
      <c r="G189" s="18">
        <v>300000000</v>
      </c>
      <c r="L189" s="18">
        <v>500000</v>
      </c>
      <c r="M189" s="3">
        <f>O189+2.34%</f>
        <v>4.1399999999999992E-2</v>
      </c>
      <c r="N189" s="17" t="s">
        <v>335</v>
      </c>
      <c r="O189" s="3">
        <v>1.7999999999999999E-2</v>
      </c>
      <c r="Q189" s="5">
        <v>42532</v>
      </c>
      <c r="S189" s="4">
        <f>(Q189-B189)/365.24</f>
        <v>4.0001095170298981</v>
      </c>
    </row>
    <row r="190" spans="1:22">
      <c r="A190" s="1" t="s">
        <v>960</v>
      </c>
      <c r="B190" s="5">
        <v>41071</v>
      </c>
      <c r="C190" s="1" t="s">
        <v>958</v>
      </c>
      <c r="D190" s="6">
        <v>335000000</v>
      </c>
      <c r="E190" s="1" t="s">
        <v>338</v>
      </c>
      <c r="F190" s="1" t="s">
        <v>5</v>
      </c>
      <c r="G190" s="18">
        <v>300000000</v>
      </c>
      <c r="L190" s="18">
        <v>500000</v>
      </c>
      <c r="M190" s="3">
        <f>O190+2.34%</f>
        <v>3.5199999999999995E-2</v>
      </c>
      <c r="N190" s="17" t="s">
        <v>335</v>
      </c>
      <c r="O190" s="3">
        <v>1.18E-2</v>
      </c>
      <c r="Q190" s="5">
        <v>42009</v>
      </c>
      <c r="S190" s="4">
        <f>(Q190-B190)/365.24</f>
        <v>2.568174351111598</v>
      </c>
    </row>
    <row r="191" spans="1:22">
      <c r="A191" s="1" t="s">
        <v>959</v>
      </c>
      <c r="B191" s="5">
        <v>41243</v>
      </c>
      <c r="C191" s="1" t="s">
        <v>958</v>
      </c>
      <c r="D191" s="6">
        <v>335000000</v>
      </c>
      <c r="E191" s="1" t="s">
        <v>338</v>
      </c>
      <c r="F191" s="1" t="s">
        <v>5</v>
      </c>
      <c r="G191" s="18">
        <v>300000000</v>
      </c>
      <c r="L191" s="18">
        <v>1000000</v>
      </c>
      <c r="M191" s="3">
        <f>O191+1.91%</f>
        <v>3.2500000000000001E-2</v>
      </c>
      <c r="N191" s="17" t="s">
        <v>335</v>
      </c>
      <c r="O191" s="3">
        <v>1.34E-2</v>
      </c>
      <c r="Q191" s="5">
        <v>43069</v>
      </c>
      <c r="S191" s="4">
        <f>(Q191-B191)/365.24</f>
        <v>4.9994524148505093</v>
      </c>
    </row>
    <row r="192" spans="1:22">
      <c r="A192" s="1" t="s">
        <v>957</v>
      </c>
      <c r="B192" s="5">
        <v>40641</v>
      </c>
      <c r="C192" s="1" t="s">
        <v>954</v>
      </c>
      <c r="D192" s="6">
        <v>88000000</v>
      </c>
      <c r="E192" s="1" t="s">
        <v>338</v>
      </c>
      <c r="F192" s="1" t="s">
        <v>5</v>
      </c>
      <c r="G192" s="18">
        <v>150000000</v>
      </c>
      <c r="L192" s="18">
        <v>500000</v>
      </c>
      <c r="M192" s="3">
        <f>O192+2.66%</f>
        <v>3.6200000000000003E-2</v>
      </c>
      <c r="N192" s="17" t="s">
        <v>335</v>
      </c>
      <c r="O192" s="3">
        <v>9.5999999999999992E-3</v>
      </c>
      <c r="Q192" s="5">
        <v>41737</v>
      </c>
      <c r="S192" s="4">
        <f>(Q192-B192)/365.24</f>
        <v>3.000766619209287</v>
      </c>
    </row>
    <row r="193" spans="1:19">
      <c r="A193" s="1" t="s">
        <v>956</v>
      </c>
      <c r="B193" s="5">
        <v>41089</v>
      </c>
      <c r="C193" s="1" t="s">
        <v>954</v>
      </c>
      <c r="D193" s="6">
        <v>100000000</v>
      </c>
      <c r="E193" s="1" t="s">
        <v>338</v>
      </c>
      <c r="F193" s="1" t="s">
        <v>5</v>
      </c>
      <c r="G193" s="18">
        <v>150000000</v>
      </c>
      <c r="L193" s="18">
        <v>500000</v>
      </c>
      <c r="M193" s="3">
        <f>O193+2.3%</f>
        <v>4.2999999999999997E-2</v>
      </c>
      <c r="N193" s="17" t="s">
        <v>335</v>
      </c>
      <c r="O193" s="3">
        <v>0.02</v>
      </c>
      <c r="Q193" s="5">
        <v>42550</v>
      </c>
      <c r="S193" s="4">
        <f>(Q193-B193)/365.24</f>
        <v>4.0001095170298981</v>
      </c>
    </row>
    <row r="194" spans="1:19">
      <c r="A194" s="1" t="s">
        <v>955</v>
      </c>
      <c r="B194" s="5">
        <v>41306</v>
      </c>
      <c r="C194" s="1" t="s">
        <v>954</v>
      </c>
      <c r="D194" s="6">
        <v>100000000</v>
      </c>
      <c r="E194" s="1" t="s">
        <v>338</v>
      </c>
      <c r="F194" s="1" t="s">
        <v>5</v>
      </c>
      <c r="G194" s="18">
        <v>150000000</v>
      </c>
      <c r="L194" s="18">
        <v>1000000</v>
      </c>
      <c r="M194" s="3">
        <f>O194+1.88%</f>
        <v>3.0299999999999997E-2</v>
      </c>
      <c r="N194" s="17" t="s">
        <v>335</v>
      </c>
      <c r="O194" s="3">
        <v>1.15E-2</v>
      </c>
      <c r="Q194" s="5">
        <v>42767</v>
      </c>
      <c r="S194" s="4">
        <f>(Q194-B194)/365.24</f>
        <v>4.0001095170298981</v>
      </c>
    </row>
    <row r="195" spans="1:19">
      <c r="A195" s="1" t="s">
        <v>953</v>
      </c>
      <c r="B195" s="5">
        <v>41148</v>
      </c>
      <c r="C195" s="1" t="s">
        <v>948</v>
      </c>
      <c r="D195" s="6">
        <v>92000000</v>
      </c>
      <c r="E195" s="1" t="s">
        <v>338</v>
      </c>
      <c r="F195" s="1" t="s">
        <v>5</v>
      </c>
      <c r="G195" s="18">
        <v>150000000</v>
      </c>
      <c r="L195" s="18">
        <v>500000</v>
      </c>
      <c r="M195" s="3">
        <f>O195+2.06%</f>
        <v>3.56E-2</v>
      </c>
      <c r="N195" s="17" t="s">
        <v>335</v>
      </c>
      <c r="O195" s="3">
        <v>1.4999999999999999E-2</v>
      </c>
      <c r="Q195" s="5">
        <v>42243</v>
      </c>
      <c r="S195" s="4">
        <f>(Q195-B195)/365.24</f>
        <v>2.9980286934618334</v>
      </c>
    </row>
    <row r="196" spans="1:19">
      <c r="A196" s="1" t="s">
        <v>952</v>
      </c>
      <c r="B196" s="5">
        <v>41264</v>
      </c>
      <c r="C196" s="1" t="s">
        <v>948</v>
      </c>
      <c r="D196" s="6">
        <v>92000000</v>
      </c>
      <c r="E196" s="1" t="s">
        <v>338</v>
      </c>
      <c r="F196" s="1" t="s">
        <v>5</v>
      </c>
      <c r="G196" s="18">
        <v>150000000</v>
      </c>
      <c r="L196" s="18">
        <v>1000000</v>
      </c>
      <c r="M196" s="3">
        <f>O196+1.87%</f>
        <v>3.1699999999999999E-2</v>
      </c>
      <c r="N196" s="17" t="s">
        <v>335</v>
      </c>
      <c r="O196" s="3">
        <v>1.2999999999999999E-2</v>
      </c>
      <c r="Q196" s="5">
        <v>42542</v>
      </c>
      <c r="S196" s="4">
        <f>(Q196-B196)/365.24</f>
        <v>3.4990691052458658</v>
      </c>
    </row>
    <row r="197" spans="1:19">
      <c r="A197" s="1" t="s">
        <v>951</v>
      </c>
      <c r="B197" s="5">
        <v>41355</v>
      </c>
      <c r="C197" s="1" t="s">
        <v>948</v>
      </c>
      <c r="D197" s="6">
        <v>94000000</v>
      </c>
      <c r="E197" s="1" t="s">
        <v>338</v>
      </c>
      <c r="F197" s="1" t="s">
        <v>5</v>
      </c>
      <c r="G197" s="18">
        <v>150000000</v>
      </c>
      <c r="L197" s="18">
        <v>1000000</v>
      </c>
      <c r="M197" s="3">
        <f>O197+1.85%</f>
        <v>3.15E-2</v>
      </c>
      <c r="N197" s="17" t="s">
        <v>335</v>
      </c>
      <c r="O197" s="3">
        <v>1.2999999999999999E-2</v>
      </c>
      <c r="Q197" s="5">
        <v>43181</v>
      </c>
      <c r="S197" s="4">
        <f>(Q197-B197)/365.24</f>
        <v>4.9994524148505093</v>
      </c>
    </row>
    <row r="198" spans="1:19">
      <c r="A198" s="1" t="s">
        <v>950</v>
      </c>
      <c r="B198" s="5">
        <v>41523</v>
      </c>
      <c r="C198" s="1" t="s">
        <v>948</v>
      </c>
      <c r="D198" s="6">
        <v>94000000</v>
      </c>
      <c r="E198" s="1" t="s">
        <v>338</v>
      </c>
      <c r="F198" s="1" t="s">
        <v>5</v>
      </c>
      <c r="G198" s="18">
        <v>150000000</v>
      </c>
      <c r="L198" s="18">
        <v>1000000</v>
      </c>
      <c r="M198" s="3">
        <f>O198+1.71%</f>
        <v>2.7099999999999999E-2</v>
      </c>
      <c r="N198" s="17" t="s">
        <v>335</v>
      </c>
      <c r="O198" s="3">
        <v>0.01</v>
      </c>
      <c r="Q198" s="5">
        <v>42984</v>
      </c>
      <c r="S198" s="4">
        <f>(Q198-B198)/365.24</f>
        <v>4.0001095170298981</v>
      </c>
    </row>
    <row r="199" spans="1:19">
      <c r="A199" s="1" t="s">
        <v>949</v>
      </c>
      <c r="B199" s="5">
        <v>41620</v>
      </c>
      <c r="C199" s="1" t="s">
        <v>948</v>
      </c>
      <c r="D199" s="6">
        <v>94000000</v>
      </c>
      <c r="E199" s="1" t="s">
        <v>338</v>
      </c>
      <c r="F199" s="1" t="s">
        <v>5</v>
      </c>
      <c r="G199" s="18">
        <v>150000000</v>
      </c>
      <c r="L199" s="18">
        <v>1000000</v>
      </c>
      <c r="M199" s="3">
        <f>O199+1.65%</f>
        <v>2.6500000000000003E-2</v>
      </c>
      <c r="N199" s="17" t="s">
        <v>335</v>
      </c>
      <c r="O199" s="3">
        <v>0.01</v>
      </c>
      <c r="Q199" s="5">
        <v>42716</v>
      </c>
      <c r="S199" s="4">
        <f>(Q199-B199)/365.24</f>
        <v>3.000766619209287</v>
      </c>
    </row>
    <row r="200" spans="1:19">
      <c r="A200" s="1" t="s">
        <v>947</v>
      </c>
      <c r="B200" s="5">
        <v>40584</v>
      </c>
      <c r="C200" s="1" t="s">
        <v>946</v>
      </c>
      <c r="D200" s="6">
        <v>73000000</v>
      </c>
      <c r="E200" s="1" t="s">
        <v>338</v>
      </c>
      <c r="F200" s="1" t="s">
        <v>5</v>
      </c>
      <c r="G200" s="18">
        <v>300000000</v>
      </c>
      <c r="L200" s="18">
        <v>500000</v>
      </c>
      <c r="M200" s="3">
        <f>O200+2.55%</f>
        <v>3.6699999999999997E-2</v>
      </c>
      <c r="N200" s="17" t="s">
        <v>335</v>
      </c>
      <c r="O200" s="3">
        <v>1.12E-2</v>
      </c>
      <c r="Q200" s="5">
        <v>42045</v>
      </c>
      <c r="S200" s="4">
        <f>(Q200-B200)/365.24</f>
        <v>4.0001095170298981</v>
      </c>
    </row>
    <row r="201" spans="1:19">
      <c r="A201" s="1" t="s">
        <v>945</v>
      </c>
      <c r="B201" s="5">
        <v>41179</v>
      </c>
      <c r="C201" s="1" t="s">
        <v>942</v>
      </c>
      <c r="D201" s="6">
        <v>82000000</v>
      </c>
      <c r="E201" s="1" t="s">
        <v>338</v>
      </c>
      <c r="F201" s="1" t="s">
        <v>5</v>
      </c>
      <c r="G201" s="18">
        <v>100000000</v>
      </c>
      <c r="L201" s="18">
        <v>100000</v>
      </c>
      <c r="M201" s="3">
        <f>O201+1.96%</f>
        <v>3.1099999999999999E-2</v>
      </c>
      <c r="N201" s="17" t="s">
        <v>335</v>
      </c>
      <c r="O201" s="3">
        <v>1.15E-2</v>
      </c>
      <c r="Q201" s="5">
        <v>42275</v>
      </c>
      <c r="S201" s="4">
        <f>(Q201-B201)/365.24</f>
        <v>3.000766619209287</v>
      </c>
    </row>
    <row r="202" spans="1:19">
      <c r="A202" s="1" t="s">
        <v>944</v>
      </c>
      <c r="B202" s="5">
        <v>41324</v>
      </c>
      <c r="C202" s="1" t="s">
        <v>942</v>
      </c>
      <c r="D202" s="6">
        <v>81000000</v>
      </c>
      <c r="E202" s="1" t="s">
        <v>338</v>
      </c>
      <c r="F202" s="1" t="s">
        <v>5</v>
      </c>
      <c r="G202" s="18">
        <v>100000000</v>
      </c>
      <c r="L202" s="18">
        <v>1000000</v>
      </c>
      <c r="M202" s="3">
        <f>O202+1.9%</f>
        <v>3.1E-2</v>
      </c>
      <c r="N202" s="17" t="s">
        <v>335</v>
      </c>
      <c r="O202" s="3">
        <v>1.2E-2</v>
      </c>
      <c r="Q202" s="5">
        <v>43150</v>
      </c>
      <c r="S202" s="4">
        <f>(Q202-B202)/365.24</f>
        <v>4.9994524148505093</v>
      </c>
    </row>
    <row r="203" spans="1:19">
      <c r="A203" s="1" t="s">
        <v>943</v>
      </c>
      <c r="B203" s="5">
        <v>41543</v>
      </c>
      <c r="C203" s="1" t="s">
        <v>942</v>
      </c>
      <c r="D203" s="6">
        <v>81000000</v>
      </c>
      <c r="E203" s="1" t="s">
        <v>338</v>
      </c>
      <c r="F203" s="1" t="s">
        <v>5</v>
      </c>
      <c r="G203" s="18">
        <v>100000000</v>
      </c>
      <c r="L203" s="18">
        <v>100000</v>
      </c>
      <c r="M203" s="3">
        <f>O203+1.68%</f>
        <v>2.76E-2</v>
      </c>
      <c r="N203" s="17" t="s">
        <v>335</v>
      </c>
      <c r="O203" s="3">
        <v>1.0800000000000001E-2</v>
      </c>
      <c r="Q203" s="5">
        <v>43369</v>
      </c>
      <c r="S203" s="4">
        <f>(Q203-B203)/365.24</f>
        <v>4.9994524148505093</v>
      </c>
    </row>
    <row r="204" spans="1:19">
      <c r="A204" s="1" t="s">
        <v>941</v>
      </c>
      <c r="B204" s="5">
        <v>40770</v>
      </c>
      <c r="C204" s="1" t="s">
        <v>263</v>
      </c>
      <c r="D204" s="6">
        <v>170000000</v>
      </c>
      <c r="E204" s="1" t="s">
        <v>338</v>
      </c>
      <c r="F204" s="1" t="s">
        <v>5</v>
      </c>
      <c r="G204" s="18">
        <v>200000000</v>
      </c>
      <c r="L204" s="18">
        <v>500000</v>
      </c>
      <c r="M204" s="3">
        <f>O204+3.15%</f>
        <v>4.1500000000000002E-2</v>
      </c>
      <c r="N204" s="17" t="s">
        <v>335</v>
      </c>
      <c r="O204" s="3">
        <v>0.01</v>
      </c>
      <c r="Q204" s="5">
        <v>41866</v>
      </c>
      <c r="S204" s="4">
        <f>(Q204-B204)/365.24</f>
        <v>3.000766619209287</v>
      </c>
    </row>
    <row r="205" spans="1:19">
      <c r="A205" s="1" t="s">
        <v>940</v>
      </c>
      <c r="B205" s="5">
        <v>41142</v>
      </c>
      <c r="C205" s="1" t="s">
        <v>263</v>
      </c>
      <c r="D205" s="6">
        <v>204000000</v>
      </c>
      <c r="E205" s="1" t="s">
        <v>338</v>
      </c>
      <c r="F205" s="1" t="s">
        <v>5</v>
      </c>
      <c r="G205" s="18">
        <v>200000000</v>
      </c>
      <c r="L205" s="18">
        <v>500000</v>
      </c>
      <c r="M205" s="3">
        <f>O205+2.09%</f>
        <v>3.5699999999999996E-2</v>
      </c>
      <c r="N205" s="17" t="s">
        <v>335</v>
      </c>
      <c r="O205" s="3">
        <v>1.4800000000000001E-2</v>
      </c>
      <c r="Q205" s="5">
        <v>42359</v>
      </c>
      <c r="S205" s="4">
        <f>(Q205-B205)/365.24</f>
        <v>3.332055634651188</v>
      </c>
    </row>
    <row r="206" spans="1:19">
      <c r="A206" s="1" t="s">
        <v>939</v>
      </c>
      <c r="B206" s="5">
        <v>41452</v>
      </c>
      <c r="C206" s="1" t="s">
        <v>263</v>
      </c>
      <c r="D206" s="6">
        <v>211000000</v>
      </c>
      <c r="E206" s="1" t="s">
        <v>338</v>
      </c>
      <c r="F206" s="1" t="s">
        <v>5</v>
      </c>
      <c r="G206" s="18">
        <v>200000000</v>
      </c>
      <c r="L206" s="18">
        <v>500000</v>
      </c>
      <c r="M206" s="3">
        <f>O206+1.69%</f>
        <v>2.5899999999999999E-2</v>
      </c>
      <c r="N206" s="17" t="s">
        <v>335</v>
      </c>
      <c r="O206" s="3">
        <v>8.9999999999999993E-3</v>
      </c>
      <c r="Q206" s="5">
        <v>42548</v>
      </c>
      <c r="S206" s="4">
        <f>(Q206-B206)/365.24</f>
        <v>3.000766619209287</v>
      </c>
    </row>
    <row r="207" spans="1:19">
      <c r="A207" s="1" t="s">
        <v>938</v>
      </c>
      <c r="B207" s="5">
        <v>41599</v>
      </c>
      <c r="C207" s="1" t="s">
        <v>263</v>
      </c>
      <c r="D207" s="6">
        <v>211000000</v>
      </c>
      <c r="E207" s="1" t="s">
        <v>338</v>
      </c>
      <c r="F207" s="1" t="s">
        <v>5</v>
      </c>
      <c r="G207" s="18">
        <v>300000000</v>
      </c>
      <c r="L207" s="18">
        <v>500000</v>
      </c>
      <c r="M207" s="3">
        <f>O207+1.64%</f>
        <v>2.3899999999999998E-2</v>
      </c>
      <c r="N207" s="17" t="s">
        <v>335</v>
      </c>
      <c r="O207" s="3">
        <v>7.4999999999999997E-3</v>
      </c>
      <c r="Q207" s="5">
        <v>42535</v>
      </c>
      <c r="S207" s="4">
        <f>(Q207-B207)/365.24</f>
        <v>2.5626984996166904</v>
      </c>
    </row>
    <row r="208" spans="1:19">
      <c r="A208" s="1" t="s">
        <v>937</v>
      </c>
      <c r="B208" s="5">
        <v>41624</v>
      </c>
      <c r="C208" s="1" t="s">
        <v>263</v>
      </c>
      <c r="D208" s="6">
        <v>211000000</v>
      </c>
      <c r="E208" s="1" t="s">
        <v>338</v>
      </c>
      <c r="F208" s="1" t="s">
        <v>5</v>
      </c>
      <c r="G208" s="18">
        <v>300000000</v>
      </c>
      <c r="L208" s="18">
        <v>500000</v>
      </c>
      <c r="M208" s="3">
        <f>1.65%+O208</f>
        <v>2.5399999999999999E-2</v>
      </c>
      <c r="N208" s="17" t="s">
        <v>335</v>
      </c>
      <c r="O208" s="3">
        <v>8.8999999999999999E-3</v>
      </c>
      <c r="Q208" s="5">
        <v>42720</v>
      </c>
      <c r="S208" s="4">
        <f>(Q208-B208)/365.24</f>
        <v>3.000766619209287</v>
      </c>
    </row>
    <row r="209" spans="1:22">
      <c r="A209" s="1" t="s">
        <v>936</v>
      </c>
      <c r="B209" s="5">
        <v>41624</v>
      </c>
      <c r="C209" s="1" t="s">
        <v>263</v>
      </c>
      <c r="D209" s="6">
        <v>211000000</v>
      </c>
      <c r="E209" s="1" t="s">
        <v>338</v>
      </c>
      <c r="F209" s="1" t="s">
        <v>5</v>
      </c>
      <c r="G209" s="18">
        <v>300000000</v>
      </c>
      <c r="L209" s="18">
        <v>500000</v>
      </c>
      <c r="M209" s="3">
        <f>1.65%+O209</f>
        <v>2.6099999999999998E-2</v>
      </c>
      <c r="N209" s="17" t="s">
        <v>335</v>
      </c>
      <c r="O209" s="3">
        <v>9.5999999999999992E-3</v>
      </c>
      <c r="Q209" s="5">
        <v>42902</v>
      </c>
      <c r="S209" s="4">
        <f>(Q209-B209)/365.24</f>
        <v>3.4990691052458658</v>
      </c>
    </row>
    <row r="210" spans="1:22">
      <c r="A210" s="1" t="s">
        <v>935</v>
      </c>
      <c r="B210" s="5">
        <v>41682</v>
      </c>
      <c r="C210" s="1" t="s">
        <v>263</v>
      </c>
      <c r="D210" s="6">
        <v>217000000</v>
      </c>
      <c r="E210" s="1" t="s">
        <v>338</v>
      </c>
      <c r="F210" s="1" t="s">
        <v>5</v>
      </c>
      <c r="G210" s="18">
        <v>300000000</v>
      </c>
      <c r="L210" s="18">
        <v>500000</v>
      </c>
      <c r="M210" s="3">
        <f>1.71%+O210</f>
        <v>2.5600000000000001E-2</v>
      </c>
      <c r="N210" s="17" t="s">
        <v>335</v>
      </c>
      <c r="O210" s="3">
        <v>8.5000000000000006E-3</v>
      </c>
      <c r="Q210" s="5">
        <v>43143</v>
      </c>
      <c r="S210" s="4">
        <f>(Q210-B210)/365.24</f>
        <v>4.0001095170298981</v>
      </c>
    </row>
    <row r="211" spans="1:22">
      <c r="A211" s="1" t="s">
        <v>934</v>
      </c>
      <c r="B211" s="5">
        <v>41621</v>
      </c>
      <c r="C211" s="20" t="s">
        <v>928</v>
      </c>
      <c r="D211" s="19">
        <v>140958000</v>
      </c>
      <c r="E211" s="1" t="s">
        <v>338</v>
      </c>
      <c r="F211" s="1" t="s">
        <v>5</v>
      </c>
      <c r="G211" s="18">
        <f>G220</f>
        <v>200000000</v>
      </c>
      <c r="L211" s="18">
        <f>L260</f>
        <v>500000</v>
      </c>
      <c r="M211" s="3">
        <v>2.81E-2</v>
      </c>
      <c r="N211" s="17" t="s">
        <v>335</v>
      </c>
      <c r="O211" s="2">
        <v>1.15E-2</v>
      </c>
      <c r="Q211" s="5">
        <v>43447</v>
      </c>
      <c r="S211" s="4">
        <f>(Q211-B211)/365.24</f>
        <v>4.9994524148505093</v>
      </c>
    </row>
    <row r="212" spans="1:22">
      <c r="A212" s="1" t="s">
        <v>933</v>
      </c>
      <c r="B212" s="5">
        <v>41653</v>
      </c>
      <c r="C212" s="20" t="s">
        <v>928</v>
      </c>
      <c r="D212" s="19">
        <v>141024000</v>
      </c>
      <c r="E212" s="1" t="s">
        <v>338</v>
      </c>
      <c r="F212" s="1" t="s">
        <v>5</v>
      </c>
      <c r="G212" s="18">
        <f>G211</f>
        <v>200000000</v>
      </c>
      <c r="L212" s="18">
        <f>L211</f>
        <v>500000</v>
      </c>
      <c r="M212" s="3">
        <v>2.5000000000000001E-2</v>
      </c>
      <c r="N212" s="17" t="s">
        <v>335</v>
      </c>
      <c r="O212" s="2">
        <v>8.3000000000000001E-3</v>
      </c>
      <c r="Q212" s="5">
        <v>42657</v>
      </c>
      <c r="S212" s="4">
        <f>(Q212-B212)/365.24</f>
        <v>2.748877450443544</v>
      </c>
    </row>
    <row r="213" spans="1:22">
      <c r="A213" s="1" t="s">
        <v>932</v>
      </c>
      <c r="B213" s="5">
        <v>41340</v>
      </c>
      <c r="C213" s="20" t="s">
        <v>928</v>
      </c>
      <c r="D213" s="19">
        <v>140958000</v>
      </c>
      <c r="E213" s="1" t="s">
        <v>338</v>
      </c>
      <c r="F213" s="1" t="s">
        <v>5</v>
      </c>
      <c r="G213" s="18">
        <f>G212</f>
        <v>200000000</v>
      </c>
      <c r="L213" s="18">
        <f>L212</f>
        <v>500000</v>
      </c>
      <c r="M213" s="3">
        <v>2.9499999999999998E-2</v>
      </c>
      <c r="N213" s="17" t="s">
        <v>335</v>
      </c>
      <c r="O213" s="2">
        <v>1.0999999999999999E-2</v>
      </c>
      <c r="Q213" s="5">
        <v>42436</v>
      </c>
      <c r="S213" s="4">
        <f>(Q213-B213)/365.24</f>
        <v>3.000766619209287</v>
      </c>
    </row>
    <row r="214" spans="1:22">
      <c r="A214" s="1" t="s">
        <v>931</v>
      </c>
      <c r="B214" s="5">
        <v>41311</v>
      </c>
      <c r="C214" s="20" t="s">
        <v>928</v>
      </c>
      <c r="D214" s="19">
        <v>140958000</v>
      </c>
      <c r="E214" s="1" t="s">
        <v>338</v>
      </c>
      <c r="F214" s="1" t="s">
        <v>5</v>
      </c>
      <c r="G214" s="18">
        <f>G213</f>
        <v>200000000</v>
      </c>
      <c r="L214" s="18">
        <f>L213</f>
        <v>500000</v>
      </c>
      <c r="M214" s="3">
        <v>3.1E-2</v>
      </c>
      <c r="N214" s="17" t="s">
        <v>335</v>
      </c>
      <c r="O214" s="2">
        <v>1.2E-2</v>
      </c>
      <c r="Q214" s="5">
        <v>42772</v>
      </c>
      <c r="S214" s="4">
        <f>(Q214-B214)/365.24</f>
        <v>4.0001095170298981</v>
      </c>
    </row>
    <row r="215" spans="1:22">
      <c r="A215" s="1" t="s">
        <v>930</v>
      </c>
      <c r="B215" s="5">
        <v>41066</v>
      </c>
      <c r="C215" s="20" t="s">
        <v>928</v>
      </c>
      <c r="D215" s="19">
        <v>132981000</v>
      </c>
      <c r="E215" s="1" t="s">
        <v>338</v>
      </c>
      <c r="F215" s="1" t="s">
        <v>5</v>
      </c>
      <c r="G215" s="18">
        <f>G237</f>
        <v>300000000</v>
      </c>
      <c r="L215" s="18">
        <f>L214</f>
        <v>500000</v>
      </c>
      <c r="M215" s="3">
        <v>4.9000000000000002E-2</v>
      </c>
      <c r="N215" s="17" t="s">
        <v>335</v>
      </c>
      <c r="O215" s="2">
        <v>2.2499999999999999E-2</v>
      </c>
      <c r="Q215" s="5">
        <v>42892</v>
      </c>
      <c r="S215" s="4">
        <f>(Q215-B215)/365.24</f>
        <v>4.9994524148505093</v>
      </c>
    </row>
    <row r="216" spans="1:22">
      <c r="A216" s="1" t="s">
        <v>929</v>
      </c>
      <c r="B216" s="5">
        <v>40700</v>
      </c>
      <c r="C216" s="20" t="s">
        <v>928</v>
      </c>
      <c r="D216" s="19">
        <v>115500000</v>
      </c>
      <c r="E216" s="1" t="s">
        <v>338</v>
      </c>
      <c r="F216" s="1" t="s">
        <v>5</v>
      </c>
      <c r="G216" s="18">
        <f>G214</f>
        <v>200000000</v>
      </c>
      <c r="L216" s="18">
        <f>L215</f>
        <v>500000</v>
      </c>
      <c r="M216" s="3">
        <v>3.8300000000000001E-2</v>
      </c>
      <c r="N216" s="17" t="s">
        <v>335</v>
      </c>
      <c r="O216" s="2">
        <v>9.4999999999999998E-3</v>
      </c>
      <c r="Q216" s="5">
        <v>41796</v>
      </c>
      <c r="S216" s="4">
        <f>(Q216-B216)/365.24</f>
        <v>3.000766619209287</v>
      </c>
    </row>
    <row r="217" spans="1:22">
      <c r="A217" s="1" t="s">
        <v>927</v>
      </c>
      <c r="B217" s="5">
        <v>41369</v>
      </c>
      <c r="C217" s="20" t="s">
        <v>926</v>
      </c>
      <c r="D217" s="19">
        <v>2189000000</v>
      </c>
      <c r="E217" s="1" t="s">
        <v>53</v>
      </c>
      <c r="F217" s="1" t="s">
        <v>5</v>
      </c>
      <c r="G217" s="18">
        <v>700000000</v>
      </c>
      <c r="L217" s="18">
        <f>L220</f>
        <v>1000000</v>
      </c>
      <c r="M217" s="3">
        <v>7.1300000000000002E-2</v>
      </c>
      <c r="N217" s="17" t="s">
        <v>335</v>
      </c>
      <c r="O217" s="2">
        <v>5.2499999999999998E-2</v>
      </c>
      <c r="Q217" s="5">
        <v>42465</v>
      </c>
      <c r="S217" s="4">
        <f>(Q217-B217)/365.24</f>
        <v>3.000766619209287</v>
      </c>
      <c r="V217" s="1" t="s">
        <v>56</v>
      </c>
    </row>
    <row r="218" spans="1:22">
      <c r="A218" s="1" t="s">
        <v>925</v>
      </c>
      <c r="B218" s="5">
        <v>41619</v>
      </c>
      <c r="C218" s="20" t="s">
        <v>924</v>
      </c>
      <c r="D218" s="19">
        <f>68304000*6</f>
        <v>409824000</v>
      </c>
      <c r="E218" s="1" t="s">
        <v>53</v>
      </c>
      <c r="F218" s="1" t="s">
        <v>17</v>
      </c>
      <c r="G218" s="18">
        <v>60000000</v>
      </c>
      <c r="J218" s="17"/>
      <c r="K218" s="2"/>
      <c r="L218" s="18">
        <v>200000</v>
      </c>
      <c r="M218" s="3">
        <v>0.1</v>
      </c>
      <c r="O218" s="1"/>
      <c r="Q218" s="5">
        <v>43445</v>
      </c>
      <c r="S218" s="4">
        <f>(Q218-B218)/365.24</f>
        <v>4.9994524148505093</v>
      </c>
      <c r="V218" s="1" t="s">
        <v>56</v>
      </c>
    </row>
    <row r="219" spans="1:22">
      <c r="A219" s="1" t="s">
        <v>923</v>
      </c>
      <c r="B219" s="5">
        <v>41544</v>
      </c>
      <c r="C219" s="20" t="s">
        <v>922</v>
      </c>
      <c r="D219" s="19">
        <f>65000000*6</f>
        <v>390000000</v>
      </c>
      <c r="E219" s="1" t="s">
        <v>53</v>
      </c>
      <c r="F219" s="1" t="s">
        <v>17</v>
      </c>
      <c r="G219" s="18">
        <v>275000000</v>
      </c>
      <c r="J219" s="17"/>
      <c r="K219" s="2"/>
      <c r="L219" s="18">
        <v>1</v>
      </c>
      <c r="M219" s="3">
        <v>9.5000000000000001E-2</v>
      </c>
      <c r="O219" s="1"/>
      <c r="Q219" s="5">
        <v>43370</v>
      </c>
      <c r="S219" s="4">
        <f>(Q219-B219)/365.24</f>
        <v>4.9994524148505093</v>
      </c>
      <c r="V219" s="1" t="s">
        <v>56</v>
      </c>
    </row>
    <row r="220" spans="1:22">
      <c r="A220" s="1" t="s">
        <v>921</v>
      </c>
      <c r="B220" s="5">
        <v>41557</v>
      </c>
      <c r="C220" s="20" t="s">
        <v>920</v>
      </c>
      <c r="D220" s="19">
        <v>232342000</v>
      </c>
      <c r="E220" s="1" t="s">
        <v>338</v>
      </c>
      <c r="F220" s="1" t="s">
        <v>5</v>
      </c>
      <c r="G220" s="18">
        <f>G238</f>
        <v>200000000</v>
      </c>
      <c r="L220" s="18">
        <f>L259</f>
        <v>1000000</v>
      </c>
      <c r="M220" s="3">
        <v>2.4E-2</v>
      </c>
      <c r="N220" s="17" t="s">
        <v>335</v>
      </c>
      <c r="O220" s="2">
        <v>7.0000000000000001E-3</v>
      </c>
      <c r="Q220" s="5">
        <v>42653</v>
      </c>
      <c r="S220" s="4">
        <f>(Q220-B220)/365.24</f>
        <v>3.000766619209287</v>
      </c>
    </row>
    <row r="221" spans="1:22">
      <c r="A221" s="1" t="s">
        <v>919</v>
      </c>
      <c r="B221" s="5">
        <v>41402</v>
      </c>
      <c r="C221" s="20" t="s">
        <v>918</v>
      </c>
      <c r="D221" s="19">
        <f>100000000*6</f>
        <v>600000000</v>
      </c>
      <c r="E221" s="1" t="s">
        <v>53</v>
      </c>
      <c r="F221" s="1" t="s">
        <v>5</v>
      </c>
      <c r="G221" s="18">
        <f>G294</f>
        <v>500000000</v>
      </c>
      <c r="L221" s="18">
        <f>L289</f>
        <v>1000000</v>
      </c>
      <c r="M221" s="3">
        <v>6.4799999999999996E-2</v>
      </c>
      <c r="N221" s="17" t="s">
        <v>335</v>
      </c>
      <c r="O221" s="2">
        <v>4.7500000000000001E-2</v>
      </c>
      <c r="Q221" s="5">
        <v>43228</v>
      </c>
      <c r="S221" s="4">
        <f>(Q221-B221)/365.24</f>
        <v>4.9994524148505093</v>
      </c>
    </row>
    <row r="222" spans="1:22">
      <c r="A222" s="1" t="s">
        <v>917</v>
      </c>
      <c r="B222" s="5">
        <v>41288</v>
      </c>
      <c r="C222" s="20" t="s">
        <v>914</v>
      </c>
      <c r="D222" s="19">
        <v>128436000</v>
      </c>
      <c r="E222" s="1" t="s">
        <v>338</v>
      </c>
      <c r="F222" s="1" t="s">
        <v>5</v>
      </c>
      <c r="G222" s="18">
        <f>G283</f>
        <v>200000000</v>
      </c>
      <c r="L222" s="18">
        <f>L221</f>
        <v>1000000</v>
      </c>
      <c r="M222" s="3">
        <v>2.7E-2</v>
      </c>
      <c r="N222" s="17" t="s">
        <v>335</v>
      </c>
      <c r="O222" s="2">
        <v>8.3000000000000001E-3</v>
      </c>
      <c r="Q222" s="5">
        <v>42108</v>
      </c>
      <c r="S222" s="4">
        <f>(Q222-B222)/365.24</f>
        <v>2.2450991129120577</v>
      </c>
    </row>
    <row r="223" spans="1:22">
      <c r="A223" s="1" t="s">
        <v>916</v>
      </c>
      <c r="B223" s="5">
        <v>41264</v>
      </c>
      <c r="C223" s="20" t="s">
        <v>914</v>
      </c>
      <c r="D223" s="19">
        <v>123905000</v>
      </c>
      <c r="E223" s="1" t="s">
        <v>338</v>
      </c>
      <c r="F223" s="1" t="s">
        <v>5</v>
      </c>
      <c r="G223" s="18">
        <f>G222</f>
        <v>200000000</v>
      </c>
      <c r="L223" s="18">
        <f>L222</f>
        <v>1000000</v>
      </c>
      <c r="M223" s="3">
        <v>2.9499999999999998E-2</v>
      </c>
      <c r="N223" s="17" t="s">
        <v>335</v>
      </c>
      <c r="O223" s="2">
        <v>1.0800000000000001E-2</v>
      </c>
      <c r="Q223" s="5">
        <v>42359</v>
      </c>
      <c r="S223" s="4">
        <f>(Q223-B223)/365.24</f>
        <v>2.9980286934618334</v>
      </c>
    </row>
    <row r="224" spans="1:22">
      <c r="A224" s="1" t="s">
        <v>915</v>
      </c>
      <c r="B224" s="5">
        <v>41176</v>
      </c>
      <c r="C224" s="20" t="s">
        <v>914</v>
      </c>
      <c r="D224" s="19">
        <v>123905000</v>
      </c>
      <c r="E224" s="1" t="s">
        <v>338</v>
      </c>
      <c r="F224" s="1" t="s">
        <v>5</v>
      </c>
      <c r="G224" s="18">
        <f>G223</f>
        <v>200000000</v>
      </c>
      <c r="L224" s="18">
        <f>L294</f>
        <v>500000</v>
      </c>
      <c r="M224" s="3">
        <v>2.7900000000000001E-2</v>
      </c>
      <c r="N224" s="17" t="s">
        <v>335</v>
      </c>
      <c r="O224" s="2">
        <v>8.9999999999999993E-3</v>
      </c>
      <c r="Q224" s="5">
        <v>41906</v>
      </c>
      <c r="S224" s="4">
        <f>(Q224-B224)/365.24</f>
        <v>1.9986857956412221</v>
      </c>
    </row>
    <row r="225" spans="1:19">
      <c r="A225" s="1" t="s">
        <v>913</v>
      </c>
      <c r="B225" s="5">
        <v>40966</v>
      </c>
      <c r="C225" s="20" t="s">
        <v>912</v>
      </c>
      <c r="D225" s="19">
        <v>5253517000</v>
      </c>
      <c r="E225" s="1" t="s">
        <v>338</v>
      </c>
      <c r="F225" s="1" t="s">
        <v>5</v>
      </c>
      <c r="G225" s="18">
        <v>220000000</v>
      </c>
      <c r="L225" s="18">
        <f>L223</f>
        <v>1000000</v>
      </c>
      <c r="M225" s="3">
        <v>3.6600000000000001E-2</v>
      </c>
      <c r="N225" s="17" t="s">
        <v>335</v>
      </c>
      <c r="O225" s="2">
        <v>0.01</v>
      </c>
      <c r="Q225" s="5">
        <v>41985</v>
      </c>
      <c r="S225" s="4">
        <f>(Q225-B225)/365.24</f>
        <v>2.7899463366553499</v>
      </c>
    </row>
    <row r="226" spans="1:19">
      <c r="A226" s="1" t="s">
        <v>911</v>
      </c>
      <c r="B226" s="5">
        <v>41708</v>
      </c>
      <c r="C226" s="20" t="s">
        <v>905</v>
      </c>
      <c r="D226" s="19">
        <v>234750000</v>
      </c>
      <c r="E226" s="1" t="s">
        <v>338</v>
      </c>
      <c r="F226" s="1" t="s">
        <v>5</v>
      </c>
      <c r="G226" s="18">
        <f>G371</f>
        <v>600000000</v>
      </c>
      <c r="L226" s="18">
        <f>L225</f>
        <v>1000000</v>
      </c>
      <c r="M226" s="3">
        <v>2.0799999999999999E-2</v>
      </c>
      <c r="N226" s="17" t="s">
        <v>335</v>
      </c>
      <c r="O226" s="2">
        <v>3.8E-3</v>
      </c>
      <c r="Q226" s="5">
        <v>42804</v>
      </c>
      <c r="S226" s="4">
        <f>(Q226-B226)/365.24</f>
        <v>3.000766619209287</v>
      </c>
    </row>
    <row r="227" spans="1:19">
      <c r="A227" s="1" t="s">
        <v>910</v>
      </c>
      <c r="B227" s="5">
        <v>41550</v>
      </c>
      <c r="C227" s="20" t="s">
        <v>905</v>
      </c>
      <c r="D227" s="19">
        <v>232194000</v>
      </c>
      <c r="E227" s="1" t="s">
        <v>338</v>
      </c>
      <c r="F227" s="1" t="s">
        <v>17</v>
      </c>
      <c r="G227" s="18">
        <f>G221</f>
        <v>500000000</v>
      </c>
      <c r="L227" s="18">
        <f>L226</f>
        <v>1000000</v>
      </c>
      <c r="M227" s="3">
        <v>3.5700000000000003E-2</v>
      </c>
      <c r="O227" s="2"/>
      <c r="Q227" s="5">
        <v>43376</v>
      </c>
      <c r="S227" s="4">
        <f>(Q227-B227)/365.24</f>
        <v>4.9994524148505093</v>
      </c>
    </row>
    <row r="228" spans="1:19">
      <c r="A228" s="1" t="s">
        <v>909</v>
      </c>
      <c r="B228" s="5">
        <v>41408</v>
      </c>
      <c r="C228" s="20" t="s">
        <v>905</v>
      </c>
      <c r="D228" s="19">
        <v>232194000</v>
      </c>
      <c r="E228" s="1" t="s">
        <v>338</v>
      </c>
      <c r="F228" s="1" t="s">
        <v>5</v>
      </c>
      <c r="G228" s="18">
        <f>G226</f>
        <v>600000000</v>
      </c>
      <c r="L228" s="18">
        <f>L226</f>
        <v>1000000</v>
      </c>
      <c r="M228" s="3">
        <v>2.4500000000000001E-2</v>
      </c>
      <c r="N228" s="17" t="s">
        <v>335</v>
      </c>
      <c r="O228" s="2">
        <v>6.7000000000000002E-3</v>
      </c>
      <c r="Q228" s="5">
        <v>42503</v>
      </c>
      <c r="S228" s="4">
        <f>(Q228-B228)/365.24</f>
        <v>2.9980286934618334</v>
      </c>
    </row>
    <row r="229" spans="1:19">
      <c r="A229" s="1" t="s">
        <v>908</v>
      </c>
      <c r="B229" s="5">
        <v>41228</v>
      </c>
      <c r="C229" s="20" t="s">
        <v>905</v>
      </c>
      <c r="D229" s="19">
        <v>189324000</v>
      </c>
      <c r="E229" s="1" t="s">
        <v>338</v>
      </c>
      <c r="F229" s="1" t="s">
        <v>5</v>
      </c>
      <c r="G229" s="18">
        <f>G228</f>
        <v>600000000</v>
      </c>
      <c r="L229" s="18">
        <f>L228</f>
        <v>1000000</v>
      </c>
      <c r="M229" s="3">
        <v>3.2800000000000003E-2</v>
      </c>
      <c r="N229" s="17" t="s">
        <v>335</v>
      </c>
      <c r="O229" s="2">
        <v>1.35E-2</v>
      </c>
      <c r="Q229" s="5">
        <v>42690</v>
      </c>
      <c r="S229" s="4">
        <f>(Q229-B229)/365.24</f>
        <v>4.0028474427773517</v>
      </c>
    </row>
    <row r="230" spans="1:19">
      <c r="A230" s="1" t="s">
        <v>907</v>
      </c>
      <c r="B230" s="5">
        <v>41145</v>
      </c>
      <c r="C230" s="20" t="s">
        <v>905</v>
      </c>
      <c r="D230" s="19">
        <v>189324000</v>
      </c>
      <c r="E230" s="1" t="s">
        <v>338</v>
      </c>
      <c r="F230" s="1" t="s">
        <v>5</v>
      </c>
      <c r="G230" s="18">
        <f>G229</f>
        <v>600000000</v>
      </c>
      <c r="L230" s="18">
        <f>L224</f>
        <v>500000</v>
      </c>
      <c r="M230" s="3">
        <v>3.32E-2</v>
      </c>
      <c r="N230" s="17" t="s">
        <v>335</v>
      </c>
      <c r="O230" s="2">
        <v>1.2500000000000001E-2</v>
      </c>
      <c r="Q230" s="5">
        <v>42240</v>
      </c>
      <c r="S230" s="4">
        <f>(Q230-B230)/365.24</f>
        <v>2.9980286934618334</v>
      </c>
    </row>
    <row r="231" spans="1:19">
      <c r="A231" s="1" t="s">
        <v>906</v>
      </c>
      <c r="B231" s="5">
        <v>41075</v>
      </c>
      <c r="C231" s="20" t="s">
        <v>905</v>
      </c>
      <c r="D231" s="19">
        <v>189324000</v>
      </c>
      <c r="E231" s="1" t="s">
        <v>338</v>
      </c>
      <c r="F231" s="1" t="s">
        <v>17</v>
      </c>
      <c r="G231" s="18">
        <f>G230</f>
        <v>600000000</v>
      </c>
      <c r="L231" s="18">
        <f>L230</f>
        <v>500000</v>
      </c>
      <c r="M231" s="3">
        <v>4.7E-2</v>
      </c>
      <c r="O231" s="2"/>
      <c r="Q231" s="5">
        <v>42901</v>
      </c>
      <c r="S231" s="4">
        <f>(Q231-B231)/365.24</f>
        <v>4.9994524148505093</v>
      </c>
    </row>
    <row r="232" spans="1:19">
      <c r="A232" s="1" t="s">
        <v>904</v>
      </c>
      <c r="B232" s="5">
        <v>41577</v>
      </c>
      <c r="C232" s="20" t="s">
        <v>897</v>
      </c>
      <c r="D232" s="19">
        <v>234344000</v>
      </c>
      <c r="E232" s="1" t="s">
        <v>338</v>
      </c>
      <c r="F232" s="1" t="s">
        <v>5</v>
      </c>
      <c r="G232" s="18">
        <f>G289</f>
        <v>300000000</v>
      </c>
      <c r="L232" s="18">
        <f>L229</f>
        <v>1000000</v>
      </c>
      <c r="M232" s="3">
        <v>2.86E-2</v>
      </c>
      <c r="N232" s="17" t="s">
        <v>335</v>
      </c>
      <c r="O232" s="2">
        <v>1.2E-2</v>
      </c>
      <c r="Q232" s="5">
        <v>43403</v>
      </c>
      <c r="S232" s="4">
        <f>(Q232-B232)/365.24</f>
        <v>4.9994524148505093</v>
      </c>
    </row>
    <row r="233" spans="1:19">
      <c r="A233" s="1" t="s">
        <v>903</v>
      </c>
      <c r="B233" s="5">
        <v>41390</v>
      </c>
      <c r="C233" s="20" t="s">
        <v>897</v>
      </c>
      <c r="D233" s="19">
        <v>234344000</v>
      </c>
      <c r="E233" s="1" t="s">
        <v>338</v>
      </c>
      <c r="F233" s="1" t="s">
        <v>5</v>
      </c>
      <c r="G233" s="18">
        <f>G232</f>
        <v>300000000</v>
      </c>
      <c r="L233" s="18">
        <f>L232</f>
        <v>1000000</v>
      </c>
      <c r="M233" s="3">
        <v>2.8899999999999999E-2</v>
      </c>
      <c r="N233" s="17" t="s">
        <v>335</v>
      </c>
      <c r="O233" s="2">
        <v>1.0999999999999999E-2</v>
      </c>
      <c r="Q233" s="5">
        <v>42851</v>
      </c>
      <c r="S233" s="4">
        <f>(Q233-B233)/365.24</f>
        <v>4.0001095170298981</v>
      </c>
    </row>
    <row r="234" spans="1:19">
      <c r="A234" s="1" t="s">
        <v>902</v>
      </c>
      <c r="B234" s="5">
        <v>41352</v>
      </c>
      <c r="C234" s="20" t="s">
        <v>897</v>
      </c>
      <c r="D234" s="19">
        <v>234344000</v>
      </c>
      <c r="E234" s="1" t="s">
        <v>338</v>
      </c>
      <c r="F234" s="1" t="s">
        <v>5</v>
      </c>
      <c r="G234" s="18">
        <f>G233</f>
        <v>300000000</v>
      </c>
      <c r="L234" s="18">
        <f>L233</f>
        <v>1000000</v>
      </c>
      <c r="M234" s="3">
        <v>3.0499999999999999E-2</v>
      </c>
      <c r="N234" s="17" t="s">
        <v>335</v>
      </c>
      <c r="O234" s="2">
        <v>1.2E-2</v>
      </c>
      <c r="Q234" s="5">
        <v>43178</v>
      </c>
      <c r="S234" s="4">
        <f>(Q234-B234)/365.24</f>
        <v>4.9994524148505093</v>
      </c>
    </row>
    <row r="235" spans="1:19">
      <c r="A235" s="1" t="s">
        <v>901</v>
      </c>
      <c r="B235" s="5">
        <v>41229</v>
      </c>
      <c r="C235" s="20" t="s">
        <v>897</v>
      </c>
      <c r="D235" s="19">
        <v>240873000</v>
      </c>
      <c r="E235" s="1" t="s">
        <v>338</v>
      </c>
      <c r="F235" s="1" t="s">
        <v>5</v>
      </c>
      <c r="G235" s="18">
        <f>G234</f>
        <v>300000000</v>
      </c>
      <c r="L235" s="18">
        <f>L234</f>
        <v>1000000</v>
      </c>
      <c r="M235" s="3">
        <v>3.4599999999999999E-2</v>
      </c>
      <c r="N235" s="17" t="s">
        <v>335</v>
      </c>
      <c r="O235" s="2">
        <v>1.4999999999999999E-2</v>
      </c>
      <c r="Q235" s="5">
        <v>43055</v>
      </c>
      <c r="S235" s="4">
        <f>(Q235-B235)/365.24</f>
        <v>4.9994524148505093</v>
      </c>
    </row>
    <row r="236" spans="1:19">
      <c r="A236" s="1" t="s">
        <v>900</v>
      </c>
      <c r="B236" s="5">
        <v>41178</v>
      </c>
      <c r="C236" s="20" t="s">
        <v>897</v>
      </c>
      <c r="D236" s="19">
        <v>240873000</v>
      </c>
      <c r="E236" s="1" t="s">
        <v>338</v>
      </c>
      <c r="F236" s="1" t="s">
        <v>5</v>
      </c>
      <c r="G236" s="18">
        <f>G224</f>
        <v>200000000</v>
      </c>
      <c r="L236" s="18">
        <f>L290</f>
        <v>100000</v>
      </c>
      <c r="M236" s="3">
        <v>3.5400000000000001E-2</v>
      </c>
      <c r="N236" s="17" t="s">
        <v>335</v>
      </c>
      <c r="O236" s="2">
        <v>1.6500000000000001E-2</v>
      </c>
      <c r="Q236" s="5">
        <v>42639</v>
      </c>
      <c r="S236" s="4">
        <f>(Q236-B236)/365.24</f>
        <v>4.0001095170298981</v>
      </c>
    </row>
    <row r="237" spans="1:19">
      <c r="A237" s="1" t="s">
        <v>899</v>
      </c>
      <c r="B237" s="5">
        <v>41101</v>
      </c>
      <c r="C237" s="20" t="s">
        <v>897</v>
      </c>
      <c r="D237" s="19">
        <v>240873000</v>
      </c>
      <c r="E237" s="1" t="s">
        <v>338</v>
      </c>
      <c r="F237" s="1" t="s">
        <v>5</v>
      </c>
      <c r="G237" s="18">
        <f>G235</f>
        <v>300000000</v>
      </c>
      <c r="L237" s="18">
        <f>L231</f>
        <v>500000</v>
      </c>
      <c r="M237" s="3">
        <v>4.0500000000000001E-2</v>
      </c>
      <c r="N237" s="17" t="s">
        <v>335</v>
      </c>
      <c r="O237" s="2">
        <v>1.7999999999999999E-2</v>
      </c>
      <c r="Q237" s="5">
        <v>42562</v>
      </c>
      <c r="S237" s="4">
        <f>(Q237-B237)/365.24</f>
        <v>4.0001095170298981</v>
      </c>
    </row>
    <row r="238" spans="1:19">
      <c r="A238" s="1" t="s">
        <v>898</v>
      </c>
      <c r="B238" s="5">
        <v>40962</v>
      </c>
      <c r="C238" s="20" t="s">
        <v>897</v>
      </c>
      <c r="D238" s="19">
        <v>240873000</v>
      </c>
      <c r="E238" s="1" t="s">
        <v>338</v>
      </c>
      <c r="F238" s="1" t="s">
        <v>5</v>
      </c>
      <c r="G238" s="18">
        <f>G236</f>
        <v>200000000</v>
      </c>
      <c r="L238" s="18">
        <f>L235</f>
        <v>1000000</v>
      </c>
      <c r="M238" s="3">
        <v>4.3099999999999999E-2</v>
      </c>
      <c r="N238" s="17" t="s">
        <v>335</v>
      </c>
      <c r="O238" s="2">
        <v>1.6500000000000001E-2</v>
      </c>
      <c r="Q238" s="5">
        <v>42058</v>
      </c>
      <c r="S238" s="4">
        <f>(Q238-B238)/365.24</f>
        <v>3.000766619209287</v>
      </c>
    </row>
    <row r="239" spans="1:19">
      <c r="A239" s="1" t="s">
        <v>896</v>
      </c>
      <c r="B239" s="5">
        <v>41624</v>
      </c>
      <c r="C239" s="20" t="s">
        <v>894</v>
      </c>
      <c r="D239" s="19">
        <v>10277000000</v>
      </c>
      <c r="E239" s="1" t="s">
        <v>338</v>
      </c>
      <c r="F239" s="1" t="s">
        <v>5</v>
      </c>
      <c r="G239" s="18">
        <v>750000000</v>
      </c>
      <c r="L239" s="18">
        <f>L237</f>
        <v>500000</v>
      </c>
      <c r="M239" s="3">
        <v>8.9099999999999999E-2</v>
      </c>
      <c r="N239" s="17" t="s">
        <v>335</v>
      </c>
      <c r="O239" s="2">
        <v>7.2499999999999995E-2</v>
      </c>
      <c r="Q239" s="5">
        <v>42720</v>
      </c>
      <c r="S239" s="4">
        <f>(Q239-B239)/365.24</f>
        <v>3.000766619209287</v>
      </c>
    </row>
    <row r="240" spans="1:19">
      <c r="A240" s="1" t="s">
        <v>895</v>
      </c>
      <c r="B240" s="5">
        <v>41093</v>
      </c>
      <c r="C240" s="20" t="s">
        <v>894</v>
      </c>
      <c r="D240" s="19">
        <v>9077000000</v>
      </c>
      <c r="E240" s="1" t="s">
        <v>338</v>
      </c>
      <c r="F240" s="1" t="s">
        <v>5</v>
      </c>
      <c r="G240" s="18">
        <f>G227</f>
        <v>500000000</v>
      </c>
      <c r="L240" s="18">
        <f>L239</f>
        <v>500000</v>
      </c>
      <c r="M240" s="3">
        <v>0.11799999999999999</v>
      </c>
      <c r="N240" s="17" t="s">
        <v>335</v>
      </c>
      <c r="O240" s="2">
        <v>9.5000000000000001E-2</v>
      </c>
      <c r="Q240" s="5">
        <v>42188</v>
      </c>
      <c r="S240" s="4">
        <f>(Q240-B240)/365.24</f>
        <v>2.9980286934618334</v>
      </c>
    </row>
    <row r="241" spans="1:19" ht="16">
      <c r="A241" s="1" t="s">
        <v>893</v>
      </c>
      <c r="B241" s="5">
        <v>41682</v>
      </c>
      <c r="C241" s="21" t="s">
        <v>882</v>
      </c>
      <c r="D241" s="19">
        <v>194104000</v>
      </c>
      <c r="E241" s="1" t="s">
        <v>338</v>
      </c>
      <c r="F241" s="1" t="s">
        <v>5</v>
      </c>
      <c r="G241" s="18">
        <f>G240</f>
        <v>500000000</v>
      </c>
      <c r="L241" s="18">
        <f>L238</f>
        <v>1000000</v>
      </c>
      <c r="M241" s="3">
        <v>2.47E-2</v>
      </c>
      <c r="N241" s="17" t="s">
        <v>335</v>
      </c>
      <c r="O241" s="2">
        <v>8.2000000000000007E-3</v>
      </c>
      <c r="Q241" s="5">
        <v>43508</v>
      </c>
      <c r="S241" s="4">
        <f>(Q241-B241)/365.24</f>
        <v>4.9994524148505093</v>
      </c>
    </row>
    <row r="242" spans="1:19" ht="16">
      <c r="A242" s="1" t="s">
        <v>892</v>
      </c>
      <c r="B242" s="5">
        <v>41605</v>
      </c>
      <c r="C242" s="21" t="s">
        <v>882</v>
      </c>
      <c r="D242" s="19">
        <v>225084000</v>
      </c>
      <c r="E242" s="1" t="s">
        <v>338</v>
      </c>
      <c r="F242" s="1" t="s">
        <v>5</v>
      </c>
      <c r="G242" s="18">
        <f>G239</f>
        <v>750000000</v>
      </c>
      <c r="L242" s="18">
        <f>L241</f>
        <v>1000000</v>
      </c>
      <c r="M242" s="3">
        <v>2.58E-2</v>
      </c>
      <c r="N242" s="17" t="s">
        <v>335</v>
      </c>
      <c r="O242" s="2">
        <v>8.9999999999999993E-3</v>
      </c>
      <c r="Q242" s="5">
        <v>43158</v>
      </c>
      <c r="S242" s="4">
        <f>(Q242-B242)/365.24</f>
        <v>4.2519986857956411</v>
      </c>
    </row>
    <row r="243" spans="1:19" ht="16">
      <c r="A243" s="1" t="s">
        <v>891</v>
      </c>
      <c r="B243" s="5">
        <v>41451</v>
      </c>
      <c r="C243" s="21" t="s">
        <v>882</v>
      </c>
      <c r="D243" s="19">
        <v>225084000</v>
      </c>
      <c r="E243" s="1" t="s">
        <v>338</v>
      </c>
      <c r="F243" s="1" t="s">
        <v>5</v>
      </c>
      <c r="G243" s="18">
        <f>G241</f>
        <v>500000000</v>
      </c>
      <c r="L243" s="18">
        <f>L242</f>
        <v>1000000</v>
      </c>
      <c r="M243" s="3">
        <v>2.52E-2</v>
      </c>
      <c r="N243" s="17" t="s">
        <v>335</v>
      </c>
      <c r="O243" s="2">
        <v>8.5000000000000006E-3</v>
      </c>
      <c r="Q243" s="5">
        <v>42776</v>
      </c>
      <c r="S243" s="4">
        <f>(Q243-B243)/365.24</f>
        <v>3.6277516153761908</v>
      </c>
    </row>
    <row r="244" spans="1:19" ht="16">
      <c r="A244" s="1" t="s">
        <v>890</v>
      </c>
      <c r="B244" s="5">
        <v>41320</v>
      </c>
      <c r="C244" s="21" t="s">
        <v>882</v>
      </c>
      <c r="D244" s="19">
        <v>225084000</v>
      </c>
      <c r="E244" s="1" t="s">
        <v>338</v>
      </c>
      <c r="F244" s="1" t="s">
        <v>5</v>
      </c>
      <c r="G244" s="18">
        <f>G273</f>
        <v>1000000000</v>
      </c>
      <c r="L244" s="18">
        <f>L243</f>
        <v>1000000</v>
      </c>
      <c r="M244" s="3">
        <v>2.7699999999999999E-2</v>
      </c>
      <c r="N244" s="17" t="s">
        <v>335</v>
      </c>
      <c r="O244" s="2">
        <v>8.8000000000000005E-3</v>
      </c>
      <c r="Q244" s="5">
        <v>42437</v>
      </c>
      <c r="S244" s="4">
        <f>(Q244-B244)/365.24</f>
        <v>3.0582630599058152</v>
      </c>
    </row>
    <row r="245" spans="1:19" ht="16">
      <c r="A245" s="1" t="s">
        <v>889</v>
      </c>
      <c r="B245" s="5">
        <v>41292</v>
      </c>
      <c r="C245" s="21" t="s">
        <v>882</v>
      </c>
      <c r="D245" s="19">
        <v>225084000</v>
      </c>
      <c r="E245" s="1" t="s">
        <v>338</v>
      </c>
      <c r="F245" s="1" t="s">
        <v>5</v>
      </c>
      <c r="G245" s="18">
        <f>G243</f>
        <v>500000000</v>
      </c>
      <c r="L245" s="18">
        <f>L244</f>
        <v>1000000</v>
      </c>
      <c r="M245" s="3">
        <v>3.2500000000000001E-2</v>
      </c>
      <c r="N245" s="17" t="s">
        <v>335</v>
      </c>
      <c r="O245" s="2">
        <v>1.4E-2</v>
      </c>
      <c r="Q245" s="5">
        <v>43118</v>
      </c>
      <c r="S245" s="4">
        <f>(Q245-B245)/365.24</f>
        <v>4.9994524148505093</v>
      </c>
    </row>
    <row r="246" spans="1:19" ht="16">
      <c r="A246" s="1" t="s">
        <v>888</v>
      </c>
      <c r="B246" s="5">
        <v>41200</v>
      </c>
      <c r="C246" s="21" t="s">
        <v>882</v>
      </c>
      <c r="D246" s="19">
        <v>258585000</v>
      </c>
      <c r="E246" s="1" t="s">
        <v>338</v>
      </c>
      <c r="F246" s="1" t="s">
        <v>17</v>
      </c>
      <c r="G246" s="18">
        <f>G245</f>
        <v>500000000</v>
      </c>
      <c r="L246" s="18">
        <f>L245</f>
        <v>1000000</v>
      </c>
      <c r="M246" s="3">
        <v>3.5000000000000003E-2</v>
      </c>
      <c r="O246" s="2"/>
      <c r="Q246" s="5">
        <v>42661</v>
      </c>
      <c r="S246" s="4">
        <f>(Q246-B246)/365.24</f>
        <v>4.0001095170298981</v>
      </c>
    </row>
    <row r="247" spans="1:19" ht="16">
      <c r="A247" s="1" t="s">
        <v>887</v>
      </c>
      <c r="B247" s="5">
        <v>41183</v>
      </c>
      <c r="C247" s="21" t="s">
        <v>882</v>
      </c>
      <c r="D247" s="19">
        <v>258585000</v>
      </c>
      <c r="E247" s="1" t="s">
        <v>338</v>
      </c>
      <c r="F247" s="1" t="s">
        <v>5</v>
      </c>
      <c r="G247" s="18">
        <f>G244</f>
        <v>1000000000</v>
      </c>
      <c r="L247" s="18">
        <f>L240</f>
        <v>500000</v>
      </c>
      <c r="M247" s="3">
        <v>3.0800000000000001E-2</v>
      </c>
      <c r="N247" s="17" t="s">
        <v>335</v>
      </c>
      <c r="O247" s="2">
        <v>1.0999999999999999E-2</v>
      </c>
      <c r="Q247" s="5">
        <v>42278</v>
      </c>
      <c r="S247" s="4">
        <f>(Q247-B247)/365.24</f>
        <v>2.9980286934618334</v>
      </c>
    </row>
    <row r="248" spans="1:19" ht="16">
      <c r="A248" s="1" t="s">
        <v>886</v>
      </c>
      <c r="B248" s="5">
        <v>41183</v>
      </c>
      <c r="C248" s="21" t="s">
        <v>882</v>
      </c>
      <c r="D248" s="19">
        <v>258585000</v>
      </c>
      <c r="E248" s="1" t="s">
        <v>338</v>
      </c>
      <c r="F248" s="1" t="s">
        <v>5</v>
      </c>
      <c r="G248" s="18">
        <f>G246</f>
        <v>500000000</v>
      </c>
      <c r="L248" s="18">
        <f>L246</f>
        <v>1000000</v>
      </c>
      <c r="M248" s="3">
        <v>3.2800000000000003E-2</v>
      </c>
      <c r="N248" s="17" t="s">
        <v>335</v>
      </c>
      <c r="O248" s="2">
        <v>1.2999999999999999E-2</v>
      </c>
      <c r="Q248" s="5">
        <v>42646</v>
      </c>
      <c r="S248" s="4">
        <f>(Q248-B248)/365.24</f>
        <v>4.0055853685248053</v>
      </c>
    </row>
    <row r="249" spans="1:19" ht="16">
      <c r="A249" s="1" t="s">
        <v>885</v>
      </c>
      <c r="B249" s="5">
        <v>41071</v>
      </c>
      <c r="C249" s="21" t="s">
        <v>882</v>
      </c>
      <c r="D249" s="19">
        <v>258585000</v>
      </c>
      <c r="E249" s="1" t="s">
        <v>338</v>
      </c>
      <c r="F249" s="1" t="s">
        <v>5</v>
      </c>
      <c r="G249" s="18">
        <f>G242</f>
        <v>750000000</v>
      </c>
      <c r="L249" s="18">
        <f>L247</f>
        <v>500000</v>
      </c>
      <c r="M249" s="3">
        <v>3.7900000000000003E-2</v>
      </c>
      <c r="N249" s="17" t="s">
        <v>335</v>
      </c>
      <c r="O249" s="2">
        <v>1.4500000000000001E-2</v>
      </c>
      <c r="Q249" s="5">
        <v>42166</v>
      </c>
      <c r="S249" s="4">
        <f>(Q249-B249)/365.24</f>
        <v>2.9980286934618334</v>
      </c>
    </row>
    <row r="250" spans="1:19" ht="16">
      <c r="A250" s="1" t="s">
        <v>884</v>
      </c>
      <c r="B250" s="5">
        <v>40695</v>
      </c>
      <c r="C250" s="21" t="s">
        <v>882</v>
      </c>
      <c r="D250" s="19">
        <v>226388673</v>
      </c>
      <c r="E250" s="1" t="s">
        <v>338</v>
      </c>
      <c r="F250" s="1" t="s">
        <v>5</v>
      </c>
      <c r="G250" s="18">
        <f>G247</f>
        <v>1000000000</v>
      </c>
      <c r="L250" s="18">
        <f>L249</f>
        <v>500000</v>
      </c>
      <c r="M250" s="3">
        <v>3.1099999999999999E-2</v>
      </c>
      <c r="N250" s="17" t="s">
        <v>335</v>
      </c>
      <c r="O250" s="2">
        <v>7.7999999999999996E-3</v>
      </c>
      <c r="Q250" s="5">
        <v>41792</v>
      </c>
      <c r="S250" s="4">
        <f>(Q250-B250)/365.24</f>
        <v>3.0035045449567406</v>
      </c>
    </row>
    <row r="251" spans="1:19" ht="16">
      <c r="A251" s="1" t="s">
        <v>883</v>
      </c>
      <c r="B251" s="5">
        <v>40584</v>
      </c>
      <c r="C251" s="21" t="s">
        <v>882</v>
      </c>
      <c r="D251" s="19">
        <v>226388673</v>
      </c>
      <c r="E251" s="1" t="s">
        <v>338</v>
      </c>
      <c r="F251" s="1" t="s">
        <v>17</v>
      </c>
      <c r="G251" s="18">
        <f>G248</f>
        <v>500000000</v>
      </c>
      <c r="L251" s="18">
        <f>L250</f>
        <v>500000</v>
      </c>
      <c r="M251" s="3">
        <v>5.1999999999999998E-2</v>
      </c>
      <c r="O251" s="2"/>
      <c r="Q251" s="5">
        <v>42410</v>
      </c>
      <c r="S251" s="4">
        <f>(Q251-B251)/365.24</f>
        <v>4.9994524148505093</v>
      </c>
    </row>
    <row r="252" spans="1:19">
      <c r="A252" s="1" t="s">
        <v>881</v>
      </c>
      <c r="B252" s="5">
        <v>41499</v>
      </c>
      <c r="C252" s="20" t="s">
        <v>876</v>
      </c>
      <c r="D252" s="19">
        <v>113632000</v>
      </c>
      <c r="E252" s="1" t="s">
        <v>338</v>
      </c>
      <c r="F252" s="1" t="s">
        <v>5</v>
      </c>
      <c r="G252" s="18">
        <f>G288</f>
        <v>100000000</v>
      </c>
      <c r="L252" s="18">
        <f>L288</f>
        <v>100000</v>
      </c>
      <c r="M252" s="3">
        <v>2.8899999999999999E-2</v>
      </c>
      <c r="N252" s="17" t="s">
        <v>335</v>
      </c>
      <c r="O252" s="2">
        <v>1.15E-2</v>
      </c>
      <c r="Q252" s="5">
        <v>42432</v>
      </c>
      <c r="S252" s="4">
        <f>(Q252-B252)/365.24</f>
        <v>2.5544847223743292</v>
      </c>
    </row>
    <row r="253" spans="1:19">
      <c r="A253" s="1" t="s">
        <v>880</v>
      </c>
      <c r="B253" s="5">
        <v>41605</v>
      </c>
      <c r="C253" s="20" t="s">
        <v>876</v>
      </c>
      <c r="D253" s="19">
        <v>113632000</v>
      </c>
      <c r="E253" s="1" t="s">
        <v>338</v>
      </c>
      <c r="F253" s="1" t="s">
        <v>5</v>
      </c>
      <c r="G253" s="18">
        <v>150000000</v>
      </c>
      <c r="L253" s="18">
        <f>L252</f>
        <v>100000</v>
      </c>
      <c r="M253" s="3">
        <v>2.6800000000000001E-2</v>
      </c>
      <c r="N253" s="17" t="s">
        <v>335</v>
      </c>
      <c r="O253" s="2">
        <v>0.01</v>
      </c>
      <c r="Q253" s="5">
        <v>42640</v>
      </c>
      <c r="S253" s="4">
        <f>(Q253-B253)/365.24</f>
        <v>2.8337531486146097</v>
      </c>
    </row>
    <row r="254" spans="1:19">
      <c r="A254" s="1" t="s">
        <v>879</v>
      </c>
      <c r="B254" s="5">
        <v>41380</v>
      </c>
      <c r="C254" s="20" t="s">
        <v>876</v>
      </c>
      <c r="D254" s="19">
        <v>113632000</v>
      </c>
      <c r="E254" s="1" t="s">
        <v>338</v>
      </c>
      <c r="F254" s="1" t="s">
        <v>5</v>
      </c>
      <c r="G254" s="18">
        <f>G253</f>
        <v>150000000</v>
      </c>
      <c r="L254" s="18">
        <f>L253</f>
        <v>100000</v>
      </c>
      <c r="M254" s="3">
        <v>2.86E-2</v>
      </c>
      <c r="N254" s="17" t="s">
        <v>335</v>
      </c>
      <c r="O254" s="2">
        <v>1.03E-2</v>
      </c>
      <c r="Q254" s="5">
        <v>42110</v>
      </c>
      <c r="S254" s="4">
        <f>(Q254-B254)/365.24</f>
        <v>1.9986857956412221</v>
      </c>
    </row>
    <row r="255" spans="1:19">
      <c r="A255" s="1" t="s">
        <v>878</v>
      </c>
      <c r="B255" s="5">
        <v>41239</v>
      </c>
      <c r="C255" s="20" t="s">
        <v>876</v>
      </c>
      <c r="D255" s="19">
        <v>121936000</v>
      </c>
      <c r="E255" s="1" t="s">
        <v>338</v>
      </c>
      <c r="F255" s="1" t="s">
        <v>5</v>
      </c>
      <c r="G255" s="18">
        <f>G254</f>
        <v>150000000</v>
      </c>
      <c r="L255" s="18">
        <f>L254</f>
        <v>100000</v>
      </c>
      <c r="M255" s="3">
        <v>3.04E-2</v>
      </c>
      <c r="N255" s="17" t="s">
        <v>335</v>
      </c>
      <c r="O255" s="2">
        <v>1.0999999999999999E-2</v>
      </c>
      <c r="Q255" s="5">
        <v>41969</v>
      </c>
      <c r="S255" s="4">
        <f>(Q255-B255)/365.24</f>
        <v>1.9986857956412221</v>
      </c>
    </row>
    <row r="256" spans="1:19">
      <c r="A256" s="1" t="s">
        <v>877</v>
      </c>
      <c r="B256" s="5">
        <v>40941</v>
      </c>
      <c r="C256" s="20" t="s">
        <v>876</v>
      </c>
      <c r="D256" s="19">
        <v>121936000</v>
      </c>
      <c r="E256" s="1" t="s">
        <v>338</v>
      </c>
      <c r="F256" s="1" t="s">
        <v>5</v>
      </c>
      <c r="G256" s="18">
        <f>G255</f>
        <v>150000000</v>
      </c>
      <c r="L256" s="18">
        <f>L251</f>
        <v>500000</v>
      </c>
      <c r="M256" s="3">
        <v>4.4900000000000002E-2</v>
      </c>
      <c r="N256" s="17" t="s">
        <v>335</v>
      </c>
      <c r="O256" s="2">
        <v>1.7999999999999999E-2</v>
      </c>
      <c r="Q256" s="5">
        <v>41761</v>
      </c>
      <c r="S256" s="4">
        <f>(Q256-B256)/365.24</f>
        <v>2.2450991129120577</v>
      </c>
    </row>
    <row r="257" spans="1:22">
      <c r="A257" s="1" t="s">
        <v>875</v>
      </c>
      <c r="B257" s="5">
        <v>41635</v>
      </c>
      <c r="C257" s="20" t="s">
        <v>870</v>
      </c>
      <c r="D257" s="19">
        <v>78416000</v>
      </c>
      <c r="E257" s="1" t="s">
        <v>338</v>
      </c>
      <c r="F257" s="29" t="s">
        <v>874</v>
      </c>
      <c r="G257" s="18">
        <v>30000000</v>
      </c>
      <c r="L257" s="18">
        <f>L255</f>
        <v>100000</v>
      </c>
      <c r="M257" s="3">
        <v>5.91E-2</v>
      </c>
      <c r="N257" s="17" t="s">
        <v>335</v>
      </c>
      <c r="O257" s="2">
        <v>4.2500000000000003E-2</v>
      </c>
      <c r="S257" s="4">
        <f>(Q257-B257)/365.24</f>
        <v>-113.99353849523601</v>
      </c>
      <c r="V257" s="1" t="s">
        <v>56</v>
      </c>
    </row>
    <row r="258" spans="1:22">
      <c r="A258" s="1" t="s">
        <v>873</v>
      </c>
      <c r="B258" s="5">
        <v>41626</v>
      </c>
      <c r="C258" s="20" t="s">
        <v>870</v>
      </c>
      <c r="D258" s="19">
        <v>78416000</v>
      </c>
      <c r="E258" s="1" t="s">
        <v>338</v>
      </c>
      <c r="F258" s="1" t="s">
        <v>5</v>
      </c>
      <c r="G258" s="18">
        <f>G252</f>
        <v>100000000</v>
      </c>
      <c r="L258" s="18">
        <f>L248</f>
        <v>1000000</v>
      </c>
      <c r="M258" s="3">
        <v>2.6100000000000002E-2</v>
      </c>
      <c r="N258" s="17" t="s">
        <v>335</v>
      </c>
      <c r="O258" s="2">
        <v>9.4000000000000004E-3</v>
      </c>
      <c r="Q258" s="5">
        <v>42814</v>
      </c>
      <c r="S258" s="4">
        <f>(Q258-B258)/365.24</f>
        <v>3.25265578797503</v>
      </c>
    </row>
    <row r="259" spans="1:22">
      <c r="A259" s="1" t="s">
        <v>872</v>
      </c>
      <c r="B259" s="5">
        <v>41533</v>
      </c>
      <c r="C259" s="20" t="s">
        <v>870</v>
      </c>
      <c r="D259" s="19">
        <v>78416000</v>
      </c>
      <c r="E259" s="1" t="s">
        <v>338</v>
      </c>
      <c r="F259" s="1" t="s">
        <v>5</v>
      </c>
      <c r="G259" s="18">
        <f>G253</f>
        <v>150000000</v>
      </c>
      <c r="L259" s="18">
        <f>L258</f>
        <v>1000000</v>
      </c>
      <c r="M259" s="3">
        <v>2.3800000000000002E-2</v>
      </c>
      <c r="N259" s="17" t="s">
        <v>335</v>
      </c>
      <c r="O259" s="2">
        <v>6.4999999999999997E-3</v>
      </c>
      <c r="Q259" s="5">
        <v>42263</v>
      </c>
      <c r="S259" s="4">
        <f>(Q259-B259)/365.24</f>
        <v>1.9986857956412221</v>
      </c>
    </row>
    <row r="260" spans="1:22">
      <c r="A260" s="1" t="s">
        <v>871</v>
      </c>
      <c r="B260" s="5">
        <v>41417</v>
      </c>
      <c r="C260" s="20" t="s">
        <v>870</v>
      </c>
      <c r="D260" s="19">
        <v>78416000</v>
      </c>
      <c r="E260" s="1" t="s">
        <v>338</v>
      </c>
      <c r="F260" s="1" t="s">
        <v>5</v>
      </c>
      <c r="G260" s="18">
        <f>G258</f>
        <v>100000000</v>
      </c>
      <c r="L260" s="18">
        <f>L256</f>
        <v>500000</v>
      </c>
      <c r="M260" s="3">
        <v>2.6499999999999999E-2</v>
      </c>
      <c r="N260" s="17" t="s">
        <v>335</v>
      </c>
      <c r="O260" s="2">
        <v>8.9999999999999993E-3</v>
      </c>
      <c r="Q260" s="5">
        <v>42513</v>
      </c>
      <c r="S260" s="4">
        <f>(Q260-B260)/365.24</f>
        <v>3.000766619209287</v>
      </c>
    </row>
    <row r="261" spans="1:22">
      <c r="A261" s="1" t="s">
        <v>869</v>
      </c>
      <c r="B261" s="5">
        <v>41292</v>
      </c>
      <c r="C261" s="20" t="s">
        <v>166</v>
      </c>
      <c r="D261" s="19">
        <v>6100000000</v>
      </c>
      <c r="E261" s="1" t="s">
        <v>25</v>
      </c>
      <c r="F261" s="1" t="s">
        <v>5</v>
      </c>
      <c r="G261" s="18">
        <f>G399</f>
        <v>500000000</v>
      </c>
      <c r="L261" s="18">
        <f>L317</f>
        <v>1000000</v>
      </c>
      <c r="M261" s="3">
        <v>3.2500000000000001E-2</v>
      </c>
      <c r="N261" s="17" t="s">
        <v>335</v>
      </c>
      <c r="O261" s="2">
        <v>1.4E-2</v>
      </c>
      <c r="Q261" s="5">
        <v>43118</v>
      </c>
      <c r="S261" s="4">
        <f>(Q261-B261)/365.24</f>
        <v>4.9994524148505093</v>
      </c>
    </row>
    <row r="262" spans="1:22">
      <c r="A262" s="1" t="s">
        <v>868</v>
      </c>
      <c r="B262" s="5">
        <v>41243</v>
      </c>
      <c r="C262" s="20" t="s">
        <v>866</v>
      </c>
      <c r="D262" s="19">
        <v>102907000</v>
      </c>
      <c r="E262" s="1" t="s">
        <v>338</v>
      </c>
      <c r="F262" s="1" t="s">
        <v>5</v>
      </c>
      <c r="G262" s="18">
        <f>G315</f>
        <v>300000000</v>
      </c>
      <c r="L262" s="18">
        <f>L261</f>
        <v>1000000</v>
      </c>
      <c r="M262" s="3">
        <v>3.09E-2</v>
      </c>
      <c r="N262" s="17" t="s">
        <v>335</v>
      </c>
      <c r="O262" s="2">
        <v>1.18E-2</v>
      </c>
      <c r="Q262" s="5">
        <v>42338</v>
      </c>
      <c r="S262" s="4">
        <f>(Q262-B262)/365.24</f>
        <v>2.9980286934618334</v>
      </c>
    </row>
    <row r="263" spans="1:22">
      <c r="A263" s="1" t="s">
        <v>867</v>
      </c>
      <c r="B263" s="5">
        <v>40667</v>
      </c>
      <c r="C263" s="20" t="s">
        <v>866</v>
      </c>
      <c r="D263" s="19">
        <v>91988000</v>
      </c>
      <c r="E263" s="1" t="s">
        <v>338</v>
      </c>
      <c r="F263" s="1" t="s">
        <v>5</v>
      </c>
      <c r="G263" s="18">
        <f>G262</f>
        <v>300000000</v>
      </c>
      <c r="L263" s="18">
        <f>L315</f>
        <v>500000</v>
      </c>
      <c r="M263" s="3">
        <v>3.6299999999999999E-2</v>
      </c>
      <c r="N263" s="17" t="s">
        <v>335</v>
      </c>
      <c r="O263" s="2">
        <v>9.4999999999999998E-3</v>
      </c>
      <c r="Q263" s="5">
        <v>41764</v>
      </c>
      <c r="S263" s="4">
        <f>(Q263-B263)/365.24</f>
        <v>3.0035045449567406</v>
      </c>
    </row>
    <row r="264" spans="1:22">
      <c r="A264" s="1" t="s">
        <v>865</v>
      </c>
      <c r="B264" s="5">
        <v>41603</v>
      </c>
      <c r="C264" s="20" t="s">
        <v>859</v>
      </c>
      <c r="D264" s="19">
        <v>250744000</v>
      </c>
      <c r="E264" s="1" t="s">
        <v>338</v>
      </c>
      <c r="F264" s="1" t="s">
        <v>5</v>
      </c>
      <c r="G264" s="18">
        <f>G263</f>
        <v>300000000</v>
      </c>
      <c r="L264" s="18">
        <f>L262</f>
        <v>1000000</v>
      </c>
      <c r="M264" s="3">
        <v>2.7199999999999998E-2</v>
      </c>
      <c r="N264" s="17" t="s">
        <v>335</v>
      </c>
      <c r="O264" s="2">
        <v>1.0999999999999999E-2</v>
      </c>
      <c r="Q264" s="5">
        <v>43430</v>
      </c>
      <c r="S264" s="4">
        <f>(Q264-B264)/365.24</f>
        <v>5.0021903405979629</v>
      </c>
    </row>
    <row r="265" spans="1:22">
      <c r="A265" s="1" t="s">
        <v>864</v>
      </c>
      <c r="B265" s="5">
        <v>41603</v>
      </c>
      <c r="C265" s="20" t="s">
        <v>859</v>
      </c>
      <c r="D265" s="19">
        <v>250744000</v>
      </c>
      <c r="E265" s="1" t="s">
        <v>338</v>
      </c>
      <c r="F265" s="1" t="s">
        <v>5</v>
      </c>
      <c r="G265" s="18">
        <f>G264</f>
        <v>300000000</v>
      </c>
      <c r="L265" s="18">
        <f>L264</f>
        <v>1000000</v>
      </c>
      <c r="M265" s="3">
        <v>2.46E-2</v>
      </c>
      <c r="N265" s="17" t="s">
        <v>335</v>
      </c>
      <c r="O265" s="2">
        <v>8.3999999999999995E-3</v>
      </c>
      <c r="Q265" s="5">
        <v>42699</v>
      </c>
      <c r="S265" s="4">
        <f>(Q265-B265)/365.24</f>
        <v>3.000766619209287</v>
      </c>
    </row>
    <row r="266" spans="1:22">
      <c r="A266" s="1" t="s">
        <v>863</v>
      </c>
      <c r="B266" s="5">
        <v>41360</v>
      </c>
      <c r="C266" s="20" t="s">
        <v>859</v>
      </c>
      <c r="D266" s="19">
        <v>250744000</v>
      </c>
      <c r="E266" s="1" t="s">
        <v>338</v>
      </c>
      <c r="F266" s="29" t="s">
        <v>5</v>
      </c>
      <c r="G266" s="18">
        <v>40000000</v>
      </c>
      <c r="L266" s="18">
        <f>L265</f>
        <v>1000000</v>
      </c>
      <c r="M266" s="3">
        <v>4.6800000000000001E-2</v>
      </c>
      <c r="N266" s="17" t="s">
        <v>335</v>
      </c>
      <c r="O266" s="2">
        <v>2.8000000000000001E-2</v>
      </c>
      <c r="Q266" s="5">
        <v>45012</v>
      </c>
      <c r="S266" s="4">
        <f>(Q266-B266)/365.24</f>
        <v>9.9989048297010186</v>
      </c>
      <c r="V266" s="1" t="s">
        <v>56</v>
      </c>
    </row>
    <row r="267" spans="1:22">
      <c r="A267" s="1" t="s">
        <v>862</v>
      </c>
      <c r="B267" s="5">
        <v>40669</v>
      </c>
      <c r="C267" s="20" t="s">
        <v>859</v>
      </c>
      <c r="D267" s="19">
        <v>245145000</v>
      </c>
      <c r="E267" s="1" t="s">
        <v>338</v>
      </c>
      <c r="F267" s="1" t="s">
        <v>5</v>
      </c>
      <c r="G267" s="18">
        <f>G261</f>
        <v>500000000</v>
      </c>
      <c r="L267" s="18">
        <f>L263</f>
        <v>500000</v>
      </c>
      <c r="M267" s="3">
        <v>3.6900000000000002E-2</v>
      </c>
      <c r="N267" s="17" t="s">
        <v>335</v>
      </c>
      <c r="O267" s="2">
        <v>1.0500000000000001E-2</v>
      </c>
      <c r="Q267" s="5">
        <v>42130</v>
      </c>
      <c r="S267" s="4">
        <f>(Q267-B267)/365.24</f>
        <v>4.0001095170298981</v>
      </c>
    </row>
    <row r="268" spans="1:22">
      <c r="A268" s="1" t="s">
        <v>861</v>
      </c>
      <c r="B268" s="5">
        <v>40669</v>
      </c>
      <c r="C268" s="20" t="s">
        <v>859</v>
      </c>
      <c r="D268" s="19">
        <v>245145000</v>
      </c>
      <c r="E268" s="1" t="s">
        <v>338</v>
      </c>
      <c r="F268" s="1" t="s">
        <v>5</v>
      </c>
      <c r="G268" s="18">
        <f>G267</f>
        <v>500000000</v>
      </c>
      <c r="L268" s="18">
        <f>L267</f>
        <v>500000</v>
      </c>
      <c r="M268" s="3">
        <v>3.4799999999999998E-2</v>
      </c>
      <c r="N268" s="17" t="s">
        <v>335</v>
      </c>
      <c r="O268" s="2">
        <v>8.3999999999999995E-3</v>
      </c>
      <c r="Q268" s="5">
        <v>41765</v>
      </c>
      <c r="S268" s="4">
        <f>(Q268-B268)/365.24</f>
        <v>3.000766619209287</v>
      </c>
    </row>
    <row r="269" spans="1:22">
      <c r="A269" s="1" t="s">
        <v>860</v>
      </c>
      <c r="B269" s="5">
        <v>40599</v>
      </c>
      <c r="C269" s="20" t="s">
        <v>859</v>
      </c>
      <c r="D269" s="19">
        <v>245145000</v>
      </c>
      <c r="E269" s="1" t="s">
        <v>338</v>
      </c>
      <c r="F269" s="1" t="s">
        <v>5</v>
      </c>
      <c r="G269" s="18">
        <f>G268</f>
        <v>500000000</v>
      </c>
      <c r="L269" s="18">
        <f>L268</f>
        <v>500000</v>
      </c>
      <c r="M269" s="3">
        <v>3.9699999999999999E-2</v>
      </c>
      <c r="N269" s="17" t="s">
        <v>335</v>
      </c>
      <c r="O269" s="2">
        <v>1.3299999999999999E-2</v>
      </c>
      <c r="Q269" s="5">
        <v>42425</v>
      </c>
      <c r="S269" s="4">
        <f>(Q269-B269)/365.24</f>
        <v>4.9994524148505093</v>
      </c>
    </row>
    <row r="270" spans="1:22">
      <c r="A270" s="1" t="s">
        <v>858</v>
      </c>
      <c r="B270" s="5">
        <v>41593</v>
      </c>
      <c r="C270" s="20" t="s">
        <v>855</v>
      </c>
      <c r="D270" s="19">
        <v>175812000</v>
      </c>
      <c r="E270" s="1" t="s">
        <v>338</v>
      </c>
      <c r="F270" s="1" t="s">
        <v>5</v>
      </c>
      <c r="G270" s="18">
        <f>G346</f>
        <v>200000000</v>
      </c>
      <c r="L270" s="18">
        <f>L266</f>
        <v>1000000</v>
      </c>
      <c r="M270" s="3">
        <v>2.7099999999999999E-2</v>
      </c>
      <c r="N270" s="17" t="s">
        <v>335</v>
      </c>
      <c r="O270" s="2">
        <v>1.04E-2</v>
      </c>
      <c r="Q270" s="5">
        <v>43419</v>
      </c>
      <c r="S270" s="4">
        <f>(Q270-B270)/365.24</f>
        <v>4.9994524148505093</v>
      </c>
    </row>
    <row r="271" spans="1:22">
      <c r="A271" s="1" t="s">
        <v>857</v>
      </c>
      <c r="B271" s="5">
        <v>41529</v>
      </c>
      <c r="C271" s="20" t="s">
        <v>855</v>
      </c>
      <c r="D271" s="19">
        <v>175812000</v>
      </c>
      <c r="E271" s="1" t="s">
        <v>338</v>
      </c>
      <c r="F271" s="1" t="s">
        <v>5</v>
      </c>
      <c r="G271" s="18">
        <f>G270</f>
        <v>200000000</v>
      </c>
      <c r="L271" s="18">
        <f>L270</f>
        <v>1000000</v>
      </c>
      <c r="M271" s="3">
        <v>2.5700000000000001E-2</v>
      </c>
      <c r="N271" s="17" t="s">
        <v>335</v>
      </c>
      <c r="O271" s="2">
        <v>8.2000000000000007E-3</v>
      </c>
      <c r="Q271" s="5">
        <v>42625</v>
      </c>
      <c r="S271" s="4">
        <f>(Q271-B271)/365.24</f>
        <v>3.000766619209287</v>
      </c>
    </row>
    <row r="272" spans="1:22">
      <c r="A272" s="1" t="s">
        <v>856</v>
      </c>
      <c r="B272" s="5">
        <v>41303</v>
      </c>
      <c r="C272" s="20" t="s">
        <v>855</v>
      </c>
      <c r="D272" s="19">
        <v>175812000</v>
      </c>
      <c r="E272" s="1" t="s">
        <v>338</v>
      </c>
      <c r="F272" s="1" t="s">
        <v>5</v>
      </c>
      <c r="G272" s="18">
        <f>G271</f>
        <v>200000000</v>
      </c>
      <c r="L272" s="18">
        <f>L271</f>
        <v>1000000</v>
      </c>
      <c r="M272" s="3">
        <v>2.8299999999999999E-2</v>
      </c>
      <c r="N272" s="17" t="s">
        <v>335</v>
      </c>
      <c r="O272" s="2">
        <v>9.4999999999999998E-3</v>
      </c>
      <c r="Q272" s="5">
        <v>42398</v>
      </c>
      <c r="S272" s="4">
        <f>(Q272-B272)/365.24</f>
        <v>2.9980286934618334</v>
      </c>
    </row>
    <row r="273" spans="1:22">
      <c r="A273" s="1" t="s">
        <v>854</v>
      </c>
      <c r="B273" s="5">
        <v>41159</v>
      </c>
      <c r="C273" s="20" t="s">
        <v>853</v>
      </c>
      <c r="D273" s="19">
        <f>7500000000*8</f>
        <v>60000000000</v>
      </c>
      <c r="E273" s="1" t="s">
        <v>338</v>
      </c>
      <c r="F273" s="1" t="s">
        <v>5</v>
      </c>
      <c r="G273" s="18">
        <f>G301</f>
        <v>1000000000</v>
      </c>
      <c r="L273" s="18">
        <f>L272</f>
        <v>1000000</v>
      </c>
      <c r="M273" s="3">
        <v>4.0099999999999997E-2</v>
      </c>
      <c r="N273" s="17" t="s">
        <v>335</v>
      </c>
      <c r="O273" s="2">
        <v>0.02</v>
      </c>
      <c r="Q273" s="5">
        <v>42254</v>
      </c>
      <c r="S273" s="4">
        <f>(Q273-B273)/365.24</f>
        <v>2.9980286934618334</v>
      </c>
    </row>
    <row r="274" spans="1:22">
      <c r="A274" s="1" t="s">
        <v>852</v>
      </c>
      <c r="B274" s="5">
        <v>41327</v>
      </c>
      <c r="C274" s="20" t="s">
        <v>851</v>
      </c>
      <c r="D274" s="19">
        <v>34112000</v>
      </c>
      <c r="E274" s="1" t="s">
        <v>338</v>
      </c>
      <c r="F274" s="1" t="s">
        <v>5</v>
      </c>
      <c r="G274" s="18">
        <v>50000000</v>
      </c>
      <c r="L274" s="18">
        <f>L273</f>
        <v>1000000</v>
      </c>
      <c r="M274" s="3">
        <v>2.9700000000000001E-2</v>
      </c>
      <c r="N274" s="17" t="s">
        <v>335</v>
      </c>
      <c r="O274" s="2">
        <v>1.12E-2</v>
      </c>
      <c r="Q274" s="5">
        <v>42422</v>
      </c>
      <c r="S274" s="4">
        <f>(Q274-B274)/365.24</f>
        <v>2.9980286934618334</v>
      </c>
    </row>
    <row r="275" spans="1:22">
      <c r="A275" s="1" t="s">
        <v>850</v>
      </c>
      <c r="B275" s="5">
        <v>41711</v>
      </c>
      <c r="C275" s="20" t="s">
        <v>845</v>
      </c>
      <c r="D275" s="19">
        <v>108000000</v>
      </c>
      <c r="E275" s="1" t="s">
        <v>338</v>
      </c>
      <c r="F275" s="1" t="s">
        <v>5</v>
      </c>
      <c r="G275" s="18">
        <f>G317</f>
        <v>100000000</v>
      </c>
      <c r="L275" s="18">
        <f>L274</f>
        <v>1000000</v>
      </c>
      <c r="M275" s="3">
        <v>2.3E-2</v>
      </c>
      <c r="N275" s="17" t="s">
        <v>335</v>
      </c>
      <c r="O275" s="2">
        <v>5.7999999999999996E-3</v>
      </c>
      <c r="Q275" s="5">
        <v>42807</v>
      </c>
      <c r="S275" s="4">
        <f>(Q275-B275)/365.24</f>
        <v>3.000766619209287</v>
      </c>
    </row>
    <row r="276" spans="1:22">
      <c r="A276" s="1" t="s">
        <v>849</v>
      </c>
      <c r="B276" s="5">
        <v>41562</v>
      </c>
      <c r="C276" s="20" t="s">
        <v>845</v>
      </c>
      <c r="D276" s="19">
        <v>102489804</v>
      </c>
      <c r="E276" s="1" t="s">
        <v>338</v>
      </c>
      <c r="F276" s="1" t="s">
        <v>5</v>
      </c>
      <c r="G276" s="18">
        <f>G275</f>
        <v>100000000</v>
      </c>
      <c r="L276" s="18">
        <f>L269</f>
        <v>500000</v>
      </c>
      <c r="M276" s="3">
        <v>2.7300000000000001E-2</v>
      </c>
      <c r="N276" s="17" t="s">
        <v>335</v>
      </c>
      <c r="O276" s="2">
        <v>1.04E-2</v>
      </c>
      <c r="Q276" s="5">
        <v>43388</v>
      </c>
      <c r="S276" s="4">
        <f>(Q276-B276)/365.24</f>
        <v>4.9994524148505093</v>
      </c>
    </row>
    <row r="277" spans="1:22">
      <c r="A277" s="1" t="s">
        <v>848</v>
      </c>
      <c r="B277" s="5">
        <v>41229</v>
      </c>
      <c r="C277" s="20" t="s">
        <v>845</v>
      </c>
      <c r="D277" s="19">
        <v>93081003</v>
      </c>
      <c r="E277" s="1" t="s">
        <v>338</v>
      </c>
      <c r="F277" s="1" t="s">
        <v>5</v>
      </c>
      <c r="G277" s="18">
        <f>G276</f>
        <v>100000000</v>
      </c>
      <c r="L277" s="18">
        <f>L275</f>
        <v>1000000</v>
      </c>
      <c r="M277" s="3">
        <v>3.5400000000000001E-2</v>
      </c>
      <c r="N277" s="17" t="s">
        <v>335</v>
      </c>
      <c r="O277" s="2">
        <v>1.5800000000000002E-2</v>
      </c>
      <c r="Q277" s="5">
        <v>43055</v>
      </c>
      <c r="S277" s="4">
        <f>(Q277-B277)/365.24</f>
        <v>4.9994524148505093</v>
      </c>
    </row>
    <row r="278" spans="1:22">
      <c r="A278" s="1" t="s">
        <v>847</v>
      </c>
      <c r="B278" s="5">
        <v>41074</v>
      </c>
      <c r="C278" s="20" t="s">
        <v>845</v>
      </c>
      <c r="D278" s="19">
        <v>93081003</v>
      </c>
      <c r="E278" s="1" t="s">
        <v>338</v>
      </c>
      <c r="F278" s="1" t="s">
        <v>5</v>
      </c>
      <c r="G278" s="18">
        <f>G277</f>
        <v>100000000</v>
      </c>
      <c r="L278" s="18">
        <f>L276</f>
        <v>500000</v>
      </c>
      <c r="M278" s="3">
        <v>4.2500000000000003E-2</v>
      </c>
      <c r="N278" s="17" t="s">
        <v>335</v>
      </c>
      <c r="O278" s="2">
        <v>1.8700000000000001E-2</v>
      </c>
      <c r="Q278" s="5">
        <v>42535</v>
      </c>
      <c r="S278" s="4">
        <f>(Q278-B278)/365.24</f>
        <v>4.0001095170298981</v>
      </c>
    </row>
    <row r="279" spans="1:22">
      <c r="A279" s="1" t="s">
        <v>846</v>
      </c>
      <c r="B279" s="5">
        <v>40700</v>
      </c>
      <c r="C279" s="20" t="s">
        <v>845</v>
      </c>
      <c r="D279" s="19">
        <v>87423025</v>
      </c>
      <c r="E279" s="1" t="s">
        <v>338</v>
      </c>
      <c r="F279" s="1" t="s">
        <v>5</v>
      </c>
      <c r="G279" s="18">
        <f>G278</f>
        <v>100000000</v>
      </c>
      <c r="L279" s="18">
        <f>L278</f>
        <v>500000</v>
      </c>
      <c r="M279" s="3">
        <v>3.8199999999999998E-2</v>
      </c>
      <c r="N279" s="17" t="s">
        <v>335</v>
      </c>
      <c r="O279" s="2">
        <v>1.03E-2</v>
      </c>
      <c r="Q279" s="5">
        <v>42163</v>
      </c>
      <c r="S279" s="4">
        <f>(Q279-B279)/365.24</f>
        <v>4.0055853685248053</v>
      </c>
    </row>
    <row r="280" spans="1:22">
      <c r="A280" s="1" t="s">
        <v>844</v>
      </c>
      <c r="B280" s="5">
        <v>41625</v>
      </c>
      <c r="C280" s="20" t="s">
        <v>840</v>
      </c>
      <c r="D280" s="19">
        <v>145914000</v>
      </c>
      <c r="E280" s="1" t="s">
        <v>338</v>
      </c>
      <c r="F280" s="1" t="s">
        <v>5</v>
      </c>
      <c r="G280" s="18">
        <v>150000000</v>
      </c>
      <c r="L280" s="18">
        <f>L277</f>
        <v>1000000</v>
      </c>
      <c r="M280" s="3">
        <v>2.3800000000000002E-2</v>
      </c>
      <c r="N280" s="17" t="s">
        <v>335</v>
      </c>
      <c r="O280" s="2">
        <v>7.3000000000000001E-3</v>
      </c>
      <c r="Q280" s="5">
        <v>42536</v>
      </c>
      <c r="S280" s="4">
        <f>(Q280-B280)/365.24</f>
        <v>2.4942503559303471</v>
      </c>
    </row>
    <row r="281" spans="1:22">
      <c r="A281" s="1" t="s">
        <v>843</v>
      </c>
      <c r="B281" s="5">
        <v>41589</v>
      </c>
      <c r="C281" s="20" t="s">
        <v>840</v>
      </c>
      <c r="D281" s="19">
        <v>145914000</v>
      </c>
      <c r="E281" s="1" t="s">
        <v>338</v>
      </c>
      <c r="F281" s="1" t="s">
        <v>5</v>
      </c>
      <c r="G281" s="18">
        <f>G272</f>
        <v>200000000</v>
      </c>
      <c r="L281" s="18">
        <f>L280</f>
        <v>1000000</v>
      </c>
      <c r="M281" s="3">
        <v>2.47E-2</v>
      </c>
      <c r="N281" s="17" t="s">
        <v>335</v>
      </c>
      <c r="O281" s="2">
        <v>8.2000000000000007E-3</v>
      </c>
      <c r="Q281" s="5">
        <v>42685</v>
      </c>
      <c r="S281" s="4">
        <f>(Q281-B281)/365.24</f>
        <v>3.000766619209287</v>
      </c>
    </row>
    <row r="282" spans="1:22">
      <c r="A282" s="1" t="s">
        <v>842</v>
      </c>
      <c r="B282" s="5">
        <v>41417</v>
      </c>
      <c r="C282" s="20" t="s">
        <v>840</v>
      </c>
      <c r="D282" s="19">
        <v>145914000</v>
      </c>
      <c r="E282" s="1" t="s">
        <v>338</v>
      </c>
      <c r="F282" s="1" t="s">
        <v>5</v>
      </c>
      <c r="G282" s="18">
        <f>G280</f>
        <v>150000000</v>
      </c>
      <c r="L282" s="18">
        <f>L281</f>
        <v>1000000</v>
      </c>
      <c r="M282" s="3">
        <v>2.8000000000000001E-2</v>
      </c>
      <c r="N282" s="17" t="s">
        <v>335</v>
      </c>
      <c r="O282" s="2">
        <v>1.0500000000000001E-2</v>
      </c>
      <c r="Q282" s="5">
        <v>43243</v>
      </c>
      <c r="S282" s="4">
        <f>(Q282-B282)/365.24</f>
        <v>4.9994524148505093</v>
      </c>
    </row>
    <row r="283" spans="1:22">
      <c r="A283" s="1" t="s">
        <v>841</v>
      </c>
      <c r="B283" s="5">
        <v>40995</v>
      </c>
      <c r="C283" s="20" t="s">
        <v>840</v>
      </c>
      <c r="D283" s="19">
        <v>147150000</v>
      </c>
      <c r="E283" s="1" t="s">
        <v>338</v>
      </c>
      <c r="F283" s="1" t="s">
        <v>5</v>
      </c>
      <c r="G283" s="18">
        <f>G281</f>
        <v>200000000</v>
      </c>
      <c r="L283" s="18">
        <f>L279</f>
        <v>500000</v>
      </c>
      <c r="M283" s="3">
        <v>3.5299999999999998E-2</v>
      </c>
      <c r="N283" s="17" t="s">
        <v>335</v>
      </c>
      <c r="O283" s="2">
        <v>1.2800000000000001E-2</v>
      </c>
      <c r="Q283" s="5">
        <v>42090</v>
      </c>
      <c r="S283" s="4">
        <f>(Q283-B283)/365.24</f>
        <v>2.9980286934618334</v>
      </c>
    </row>
    <row r="284" spans="1:22">
      <c r="A284" s="1" t="s">
        <v>839</v>
      </c>
      <c r="B284" s="5">
        <v>41683</v>
      </c>
      <c r="C284" s="20" t="s">
        <v>836</v>
      </c>
      <c r="D284" s="19">
        <v>51712000</v>
      </c>
      <c r="E284" s="1" t="s">
        <v>338</v>
      </c>
      <c r="F284" s="1" t="s">
        <v>5</v>
      </c>
      <c r="G284" s="18">
        <f>G265</f>
        <v>300000000</v>
      </c>
      <c r="L284" s="18">
        <f>L282</f>
        <v>1000000</v>
      </c>
      <c r="M284" s="3">
        <v>2.8799999999999999E-2</v>
      </c>
      <c r="N284" s="17" t="s">
        <v>335</v>
      </c>
      <c r="O284" s="2">
        <v>1.2E-2</v>
      </c>
      <c r="Q284" s="5">
        <v>42779</v>
      </c>
      <c r="S284" s="4">
        <f>(Q284-B284)/365.24</f>
        <v>3.000766619209287</v>
      </c>
    </row>
    <row r="285" spans="1:22">
      <c r="A285" s="1" t="s">
        <v>838</v>
      </c>
      <c r="B285" s="5">
        <v>41568</v>
      </c>
      <c r="C285" s="20" t="s">
        <v>836</v>
      </c>
      <c r="D285" s="19">
        <v>48513000</v>
      </c>
      <c r="E285" s="1" t="s">
        <v>338</v>
      </c>
      <c r="F285" s="1" t="s">
        <v>5</v>
      </c>
      <c r="G285" s="18">
        <f>G281</f>
        <v>200000000</v>
      </c>
      <c r="L285" s="18">
        <f>L284</f>
        <v>1000000</v>
      </c>
      <c r="M285" s="3">
        <v>2.9899999999999999E-2</v>
      </c>
      <c r="N285" s="17" t="s">
        <v>335</v>
      </c>
      <c r="O285" s="2">
        <v>1.2999999999999999E-2</v>
      </c>
      <c r="Q285" s="5">
        <v>42664</v>
      </c>
      <c r="S285" s="4">
        <f>(Q285-B285)/365.24</f>
        <v>3.000766619209287</v>
      </c>
    </row>
    <row r="286" spans="1:22">
      <c r="A286" s="1" t="s">
        <v>837</v>
      </c>
      <c r="B286" s="5">
        <v>41402</v>
      </c>
      <c r="C286" s="20" t="s">
        <v>836</v>
      </c>
      <c r="D286" s="19">
        <v>48513000</v>
      </c>
      <c r="E286" s="1" t="s">
        <v>338</v>
      </c>
      <c r="F286" s="1" t="s">
        <v>5</v>
      </c>
      <c r="G286" s="18">
        <f>G280</f>
        <v>150000000</v>
      </c>
      <c r="L286" s="18">
        <f>L283</f>
        <v>500000</v>
      </c>
      <c r="M286" s="3">
        <v>2.98E-2</v>
      </c>
      <c r="N286" s="17" t="s">
        <v>335</v>
      </c>
      <c r="O286" s="2">
        <v>1.2500000000000001E-2</v>
      </c>
      <c r="Q286" s="5">
        <v>42132</v>
      </c>
      <c r="S286" s="4">
        <f>(Q286-B286)/365.24</f>
        <v>1.9986857956412221</v>
      </c>
    </row>
    <row r="287" spans="1:22">
      <c r="A287" s="1" t="s">
        <v>835</v>
      </c>
      <c r="B287" s="5">
        <v>41604</v>
      </c>
      <c r="C287" s="20" t="s">
        <v>830</v>
      </c>
      <c r="D287" s="19">
        <v>37181000</v>
      </c>
      <c r="E287" s="1" t="s">
        <v>338</v>
      </c>
      <c r="F287" s="1" t="s">
        <v>5</v>
      </c>
      <c r="G287" s="18">
        <f>G269</f>
        <v>500000000</v>
      </c>
      <c r="L287" s="18">
        <f>L285</f>
        <v>1000000</v>
      </c>
      <c r="M287" s="3">
        <v>2.5399999999999999E-2</v>
      </c>
      <c r="N287" s="17" t="s">
        <v>335</v>
      </c>
      <c r="O287" s="2">
        <v>8.8999999999999999E-3</v>
      </c>
      <c r="Q287" s="5">
        <v>43430</v>
      </c>
      <c r="S287" s="4">
        <f>(Q287-B287)/365.24</f>
        <v>4.9994524148505093</v>
      </c>
    </row>
    <row r="288" spans="1:22">
      <c r="A288" s="1" t="s">
        <v>834</v>
      </c>
      <c r="B288" s="5">
        <v>41452</v>
      </c>
      <c r="C288" s="20" t="s">
        <v>830</v>
      </c>
      <c r="D288" s="19">
        <v>37181000</v>
      </c>
      <c r="E288" s="1" t="s">
        <v>338</v>
      </c>
      <c r="F288" s="29" t="s">
        <v>5</v>
      </c>
      <c r="G288" s="18">
        <f>G278</f>
        <v>100000000</v>
      </c>
      <c r="L288" s="18">
        <f>L301</f>
        <v>100000</v>
      </c>
      <c r="M288" s="3">
        <v>3.5900000000000001E-2</v>
      </c>
      <c r="N288" s="17" t="s">
        <v>335</v>
      </c>
      <c r="O288" s="2">
        <v>1.9E-2</v>
      </c>
      <c r="Q288" s="5">
        <v>45104</v>
      </c>
      <c r="S288" s="4">
        <f>(Q288-B288)/365.24</f>
        <v>9.9989048297010186</v>
      </c>
      <c r="V288" s="1" t="s">
        <v>56</v>
      </c>
    </row>
    <row r="289" spans="1:22">
      <c r="A289" s="1" t="s">
        <v>833</v>
      </c>
      <c r="B289" s="5">
        <v>41451</v>
      </c>
      <c r="C289" s="20" t="s">
        <v>830</v>
      </c>
      <c r="D289" s="19">
        <v>37181000</v>
      </c>
      <c r="E289" s="1" t="s">
        <v>338</v>
      </c>
      <c r="F289" s="1" t="s">
        <v>17</v>
      </c>
      <c r="G289" s="18">
        <f>G284</f>
        <v>300000000</v>
      </c>
      <c r="L289" s="18">
        <f>L287</f>
        <v>1000000</v>
      </c>
      <c r="M289" s="3">
        <v>3.3300000000000003E-2</v>
      </c>
      <c r="O289" s="2"/>
      <c r="Q289" s="5">
        <v>43277</v>
      </c>
      <c r="S289" s="4">
        <f>(Q289-B289)/365.24</f>
        <v>4.9994524148505093</v>
      </c>
    </row>
    <row r="290" spans="1:22">
      <c r="A290" s="1" t="s">
        <v>832</v>
      </c>
      <c r="B290" s="5">
        <v>41200</v>
      </c>
      <c r="C290" s="20" t="s">
        <v>830</v>
      </c>
      <c r="D290" s="19">
        <v>43298000</v>
      </c>
      <c r="E290" s="1" t="s">
        <v>338</v>
      </c>
      <c r="F290" s="1" t="s">
        <v>5</v>
      </c>
      <c r="G290" s="18">
        <f>G287</f>
        <v>500000000</v>
      </c>
      <c r="L290" s="18">
        <f>L288</f>
        <v>100000</v>
      </c>
      <c r="M290" s="3">
        <v>2.9600000000000001E-2</v>
      </c>
      <c r="N290" s="17" t="s">
        <v>335</v>
      </c>
      <c r="O290" s="2">
        <v>1.06E-2</v>
      </c>
      <c r="Q290" s="5">
        <v>42418</v>
      </c>
      <c r="S290" s="4">
        <f>(Q290-B290)/365.24</f>
        <v>3.3347935603986421</v>
      </c>
    </row>
    <row r="291" spans="1:22">
      <c r="A291" s="1" t="s">
        <v>831</v>
      </c>
      <c r="B291" s="5">
        <v>40695</v>
      </c>
      <c r="C291" s="20" t="s">
        <v>830</v>
      </c>
      <c r="D291" s="19"/>
      <c r="E291" s="1" t="s">
        <v>338</v>
      </c>
      <c r="F291" s="1" t="s">
        <v>5</v>
      </c>
      <c r="G291" s="18">
        <f>G290</f>
        <v>500000000</v>
      </c>
      <c r="L291" s="18">
        <f>L286</f>
        <v>500000</v>
      </c>
      <c r="M291" s="3">
        <v>3.7999999999999999E-2</v>
      </c>
      <c r="N291" s="17" t="s">
        <v>335</v>
      </c>
      <c r="O291" s="2">
        <v>9.1000000000000004E-3</v>
      </c>
      <c r="Q291" s="5">
        <v>42156</v>
      </c>
      <c r="S291" s="4">
        <f>(Q291-B291)/365.24</f>
        <v>4.0001095170298981</v>
      </c>
    </row>
    <row r="292" spans="1:22">
      <c r="A292" s="1" t="s">
        <v>829</v>
      </c>
      <c r="B292" s="5">
        <v>41695</v>
      </c>
      <c r="C292" s="20" t="s">
        <v>826</v>
      </c>
      <c r="D292" s="19">
        <v>60138000</v>
      </c>
      <c r="E292" s="1" t="s">
        <v>338</v>
      </c>
      <c r="F292" s="1" t="s">
        <v>33</v>
      </c>
      <c r="G292" s="18">
        <f>G291</f>
        <v>500000000</v>
      </c>
      <c r="L292" s="18">
        <f>L291</f>
        <v>500000</v>
      </c>
      <c r="M292" s="3">
        <v>2.24E-2</v>
      </c>
      <c r="N292" s="17" t="s">
        <v>335</v>
      </c>
      <c r="O292" s="2">
        <v>5.4999999999999997E-3</v>
      </c>
      <c r="Q292" s="5">
        <v>43886</v>
      </c>
      <c r="R292" s="5">
        <v>44252</v>
      </c>
      <c r="S292" s="4">
        <f>(Q292-B292)/365.24</f>
        <v>5.9987953126711204</v>
      </c>
    </row>
    <row r="293" spans="1:22">
      <c r="A293" s="1" t="s">
        <v>828</v>
      </c>
      <c r="B293" s="5">
        <v>40791</v>
      </c>
      <c r="C293" s="20" t="s">
        <v>826</v>
      </c>
      <c r="D293" s="19"/>
      <c r="E293" s="1" t="s">
        <v>338</v>
      </c>
      <c r="F293" s="1" t="str">
        <f>F292</f>
        <v>FRN med fortrinnsrett</v>
      </c>
      <c r="G293" s="18">
        <f>G292</f>
        <v>500000000</v>
      </c>
      <c r="L293" s="18">
        <f>L292</f>
        <v>500000</v>
      </c>
      <c r="M293" s="3">
        <v>3.7699999999999997E-2</v>
      </c>
      <c r="N293" s="17" t="s">
        <v>335</v>
      </c>
      <c r="O293" s="2">
        <v>6.4999999999999997E-3</v>
      </c>
      <c r="Q293" s="5">
        <v>42618</v>
      </c>
      <c r="R293" s="5">
        <v>42983</v>
      </c>
      <c r="S293" s="4">
        <f>(Q293-B293)/365.24</f>
        <v>5.0021903405979629</v>
      </c>
    </row>
    <row r="294" spans="1:22">
      <c r="A294" s="1" t="s">
        <v>827</v>
      </c>
      <c r="B294" s="5">
        <v>40681</v>
      </c>
      <c r="C294" s="20" t="s">
        <v>826</v>
      </c>
      <c r="D294" s="19"/>
      <c r="E294" s="1" t="s">
        <v>338</v>
      </c>
      <c r="F294" s="1" t="str">
        <f>F293</f>
        <v>FRN med fortrinnsrett</v>
      </c>
      <c r="G294" s="18">
        <f>G293</f>
        <v>500000000</v>
      </c>
      <c r="L294" s="18">
        <f>L293</f>
        <v>500000</v>
      </c>
      <c r="M294" s="3">
        <v>3.3300000000000003E-2</v>
      </c>
      <c r="N294" s="17" t="s">
        <v>335</v>
      </c>
      <c r="O294" s="2">
        <v>6.4000000000000003E-3</v>
      </c>
      <c r="Q294" s="5">
        <v>42478</v>
      </c>
      <c r="R294" s="5">
        <v>42843</v>
      </c>
      <c r="S294" s="4">
        <f>(Q294-B294)/365.24</f>
        <v>4.9200525681743512</v>
      </c>
    </row>
    <row r="295" spans="1:22">
      <c r="A295" s="1" t="s">
        <v>825</v>
      </c>
      <c r="B295" s="5">
        <v>41526</v>
      </c>
      <c r="C295" s="20" t="s">
        <v>822</v>
      </c>
      <c r="D295" s="19">
        <v>241343000</v>
      </c>
      <c r="E295" s="1" t="s">
        <v>338</v>
      </c>
      <c r="F295" s="1" t="s">
        <v>5</v>
      </c>
      <c r="G295" s="18">
        <f>G348</f>
        <v>300000000</v>
      </c>
      <c r="L295" s="18">
        <f>L346</f>
        <v>1000000</v>
      </c>
      <c r="M295" s="3">
        <v>2.47E-2</v>
      </c>
      <c r="N295" s="17" t="s">
        <v>335</v>
      </c>
      <c r="O295" s="2">
        <v>7.4999999999999997E-3</v>
      </c>
      <c r="Q295" s="5">
        <v>42622</v>
      </c>
      <c r="S295" s="4">
        <f>(Q295-B295)/365.24</f>
        <v>3.000766619209287</v>
      </c>
    </row>
    <row r="296" spans="1:22">
      <c r="A296" s="1" t="s">
        <v>824</v>
      </c>
      <c r="B296" s="5">
        <v>41285</v>
      </c>
      <c r="C296" s="20" t="s">
        <v>822</v>
      </c>
      <c r="D296" s="19">
        <v>241343000</v>
      </c>
      <c r="E296" s="1" t="s">
        <v>338</v>
      </c>
      <c r="F296" s="1" t="s">
        <v>5</v>
      </c>
      <c r="G296" s="18">
        <f>G295</f>
        <v>300000000</v>
      </c>
      <c r="L296" s="18">
        <f>L295</f>
        <v>1000000</v>
      </c>
      <c r="M296" s="3">
        <v>3.0700000000000002E-2</v>
      </c>
      <c r="N296" s="17" t="s">
        <v>335</v>
      </c>
      <c r="O296" s="2">
        <v>1.2E-2</v>
      </c>
      <c r="Q296" s="5">
        <v>43111</v>
      </c>
      <c r="S296" s="4">
        <f>(Q296-B296)/365.24</f>
        <v>4.9994524148505093</v>
      </c>
    </row>
    <row r="297" spans="1:22">
      <c r="A297" s="1" t="s">
        <v>823</v>
      </c>
      <c r="B297" s="5">
        <v>40632</v>
      </c>
      <c r="C297" s="20" t="s">
        <v>822</v>
      </c>
      <c r="D297" s="19">
        <v>218257244</v>
      </c>
      <c r="E297" s="1" t="s">
        <v>338</v>
      </c>
      <c r="F297" s="1" t="s">
        <v>5</v>
      </c>
      <c r="G297" s="18">
        <f>G296</f>
        <v>300000000</v>
      </c>
      <c r="L297" s="18">
        <f>L348</f>
        <v>500000</v>
      </c>
      <c r="M297" s="3">
        <v>3.6400000000000002E-2</v>
      </c>
      <c r="N297" s="17" t="s">
        <v>335</v>
      </c>
      <c r="O297" s="2">
        <v>0.01</v>
      </c>
      <c r="Q297" s="5">
        <v>41912</v>
      </c>
      <c r="S297" s="4">
        <f>(Q297-B297)/365.24</f>
        <v>3.5045449567407729</v>
      </c>
    </row>
    <row r="298" spans="1:22">
      <c r="A298" s="1" t="s">
        <v>821</v>
      </c>
      <c r="B298" s="5">
        <v>41676</v>
      </c>
      <c r="C298" s="20" t="s">
        <v>58</v>
      </c>
      <c r="D298" s="19">
        <v>4092000000</v>
      </c>
      <c r="E298" s="1" t="s">
        <v>338</v>
      </c>
      <c r="F298" s="1" t="s">
        <v>5</v>
      </c>
      <c r="G298" s="18">
        <f>G337</f>
        <v>2000000000</v>
      </c>
      <c r="L298" s="18">
        <f>L297</f>
        <v>500000</v>
      </c>
      <c r="M298" s="3">
        <v>2.07E-2</v>
      </c>
      <c r="N298" s="17" t="s">
        <v>335</v>
      </c>
      <c r="O298" s="2">
        <v>4.1999999999999997E-3</v>
      </c>
      <c r="Q298" s="5">
        <v>42772</v>
      </c>
      <c r="S298" s="4">
        <f>(Q298-B298)/365.24</f>
        <v>3.000766619209287</v>
      </c>
    </row>
    <row r="299" spans="1:22">
      <c r="A299" s="1" t="s">
        <v>820</v>
      </c>
      <c r="B299" s="5">
        <v>41603</v>
      </c>
      <c r="C299" s="20" t="s">
        <v>58</v>
      </c>
      <c r="D299" s="19">
        <v>3904000000</v>
      </c>
      <c r="E299" s="1" t="s">
        <v>338</v>
      </c>
      <c r="F299" s="1" t="s">
        <v>5</v>
      </c>
      <c r="G299" s="18">
        <f>G298</f>
        <v>2000000000</v>
      </c>
      <c r="L299" s="18">
        <f>L298</f>
        <v>500000</v>
      </c>
      <c r="M299" s="3">
        <v>2.46E-2</v>
      </c>
      <c r="N299" s="17" t="s">
        <v>335</v>
      </c>
      <c r="O299" s="2">
        <v>8.3999999999999995E-3</v>
      </c>
      <c r="Q299" s="5">
        <v>43430</v>
      </c>
      <c r="S299" s="4">
        <f>(Q299-B299)/365.24</f>
        <v>5.0021903405979629</v>
      </c>
    </row>
    <row r="300" spans="1:22">
      <c r="A300" s="1" t="s">
        <v>819</v>
      </c>
      <c r="B300" s="5">
        <v>41599</v>
      </c>
      <c r="C300" s="20" t="s">
        <v>58</v>
      </c>
      <c r="D300" s="19">
        <v>3904000000</v>
      </c>
      <c r="E300" s="1" t="s">
        <v>338</v>
      </c>
      <c r="F300" s="1" t="s">
        <v>17</v>
      </c>
      <c r="G300" s="18">
        <f>G299</f>
        <v>2000000000</v>
      </c>
      <c r="L300" s="18">
        <f>L296</f>
        <v>1000000</v>
      </c>
      <c r="M300" s="3">
        <v>4.0500000000000001E-2</v>
      </c>
      <c r="O300" s="2"/>
      <c r="Q300" s="5">
        <v>45251</v>
      </c>
      <c r="S300" s="4">
        <f>(Q300-B300)/365.24</f>
        <v>9.9989048297010186</v>
      </c>
    </row>
    <row r="301" spans="1:22">
      <c r="A301" s="1" t="s">
        <v>818</v>
      </c>
      <c r="B301" s="5">
        <v>41262</v>
      </c>
      <c r="C301" s="20" t="s">
        <v>58</v>
      </c>
      <c r="D301" s="19">
        <v>3824000000</v>
      </c>
      <c r="E301" s="1" t="s">
        <v>338</v>
      </c>
      <c r="F301" s="29" t="s">
        <v>5</v>
      </c>
      <c r="G301" s="18">
        <f>G341</f>
        <v>1000000000</v>
      </c>
      <c r="L301" s="18">
        <f>L336</f>
        <v>100000</v>
      </c>
      <c r="M301" s="3">
        <v>4.5600000000000002E-2</v>
      </c>
      <c r="N301" s="17" t="s">
        <v>335</v>
      </c>
      <c r="O301" s="2">
        <v>2.75E-2</v>
      </c>
      <c r="Q301" s="5">
        <v>44914</v>
      </c>
      <c r="S301" s="4">
        <f>(Q301-B301)/365.24</f>
        <v>9.9989048297010186</v>
      </c>
      <c r="V301" s="1" t="s">
        <v>56</v>
      </c>
    </row>
    <row r="302" spans="1:22">
      <c r="A302" s="1" t="s">
        <v>817</v>
      </c>
      <c r="B302" s="5">
        <v>41220</v>
      </c>
      <c r="C302" s="20" t="s">
        <v>58</v>
      </c>
      <c r="D302" s="19">
        <v>3824000000</v>
      </c>
      <c r="E302" s="1" t="s">
        <v>338</v>
      </c>
      <c r="F302" s="1" t="s">
        <v>17</v>
      </c>
      <c r="G302" s="18">
        <f>G300</f>
        <v>2000000000</v>
      </c>
      <c r="L302" s="18">
        <f>L299</f>
        <v>500000</v>
      </c>
      <c r="M302" s="3">
        <v>4.5499999999999999E-2</v>
      </c>
      <c r="O302" s="2"/>
      <c r="Q302" s="5">
        <v>44872</v>
      </c>
      <c r="S302" s="4">
        <f>(Q302-B302)/365.24</f>
        <v>9.9989048297010186</v>
      </c>
    </row>
    <row r="303" spans="1:22">
      <c r="A303" s="1" t="s">
        <v>816</v>
      </c>
      <c r="B303" s="5">
        <v>41142</v>
      </c>
      <c r="C303" s="20" t="s">
        <v>58</v>
      </c>
      <c r="D303" s="19">
        <v>3824000000</v>
      </c>
      <c r="E303" s="1" t="s">
        <v>338</v>
      </c>
      <c r="F303" s="1" t="s">
        <v>17</v>
      </c>
      <c r="G303" s="18">
        <f>G302</f>
        <v>2000000000</v>
      </c>
      <c r="L303" s="18">
        <f>L302</f>
        <v>500000</v>
      </c>
      <c r="M303" s="3">
        <v>4.1000000000000002E-2</v>
      </c>
      <c r="O303" s="2"/>
      <c r="Q303" s="5">
        <v>42999</v>
      </c>
      <c r="S303" s="4">
        <f>(Q303-B303)/365.24</f>
        <v>5.0843281130215745</v>
      </c>
    </row>
    <row r="304" spans="1:22">
      <c r="A304" s="1" t="s">
        <v>815</v>
      </c>
      <c r="B304" s="5">
        <v>41067</v>
      </c>
      <c r="C304" s="20" t="s">
        <v>58</v>
      </c>
      <c r="D304" s="19">
        <v>3824000000</v>
      </c>
      <c r="E304" s="1" t="s">
        <v>338</v>
      </c>
      <c r="F304" s="1" t="s">
        <v>17</v>
      </c>
      <c r="G304" s="18">
        <f>G303</f>
        <v>2000000000</v>
      </c>
      <c r="L304" s="18">
        <f>L303</f>
        <v>500000</v>
      </c>
      <c r="M304" s="3">
        <v>4.7500000000000001E-2</v>
      </c>
      <c r="O304" s="2"/>
      <c r="Q304" s="5">
        <v>43258</v>
      </c>
      <c r="S304" s="4">
        <f>(Q304-B304)/365.24</f>
        <v>5.9987953126711204</v>
      </c>
    </row>
    <row r="305" spans="1:19">
      <c r="A305" s="1" t="s">
        <v>814</v>
      </c>
      <c r="B305" s="5">
        <v>40947</v>
      </c>
      <c r="C305" s="20" t="s">
        <v>58</v>
      </c>
      <c r="D305" s="19">
        <v>3824000000</v>
      </c>
      <c r="E305" s="1" t="s">
        <v>338</v>
      </c>
      <c r="F305" s="1" t="s">
        <v>17</v>
      </c>
      <c r="G305" s="18">
        <f>G304</f>
        <v>2000000000</v>
      </c>
      <c r="L305" s="18">
        <f>L304</f>
        <v>500000</v>
      </c>
      <c r="M305" s="3">
        <v>5.1700000000000003E-2</v>
      </c>
      <c r="O305" s="2"/>
      <c r="Q305" s="5">
        <v>43504</v>
      </c>
      <c r="S305" s="4">
        <f>(Q305-B305)/365.24</f>
        <v>7.0008761362391851</v>
      </c>
    </row>
    <row r="306" spans="1:19">
      <c r="A306" s="1" t="s">
        <v>813</v>
      </c>
      <c r="B306" s="5">
        <v>40928</v>
      </c>
      <c r="C306" s="20" t="s">
        <v>58</v>
      </c>
      <c r="D306" s="19">
        <v>3824000000</v>
      </c>
      <c r="E306" s="1" t="s">
        <v>338</v>
      </c>
      <c r="F306" s="1" t="s">
        <v>5</v>
      </c>
      <c r="G306" s="18">
        <f>G305</f>
        <v>2000000000</v>
      </c>
      <c r="L306" s="18">
        <f>L305</f>
        <v>500000</v>
      </c>
      <c r="M306" s="3">
        <v>4.5499999999999999E-2</v>
      </c>
      <c r="N306" s="17" t="s">
        <v>335</v>
      </c>
      <c r="O306" s="2">
        <v>1.9E-2</v>
      </c>
      <c r="Q306" s="5">
        <v>42809</v>
      </c>
      <c r="S306" s="4">
        <f>(Q306-B306)/365.24</f>
        <v>5.1500383309604638</v>
      </c>
    </row>
    <row r="307" spans="1:19">
      <c r="A307" s="1" t="s">
        <v>812</v>
      </c>
      <c r="B307" s="5">
        <v>40829</v>
      </c>
      <c r="C307" s="20" t="s">
        <v>58</v>
      </c>
      <c r="D307" s="19">
        <v>3226000000</v>
      </c>
      <c r="E307" s="1" t="s">
        <v>338</v>
      </c>
      <c r="F307" s="1" t="s">
        <v>17</v>
      </c>
      <c r="G307" s="18">
        <f>G306</f>
        <v>2000000000</v>
      </c>
      <c r="L307" s="18">
        <f>L306</f>
        <v>500000</v>
      </c>
      <c r="M307" s="3">
        <v>4.7E-2</v>
      </c>
      <c r="O307" s="2"/>
      <c r="Q307" s="5">
        <v>42656</v>
      </c>
      <c r="S307" s="4">
        <f>(Q307-B307)/365.24</f>
        <v>5.0021903405979629</v>
      </c>
    </row>
    <row r="308" spans="1:19">
      <c r="A308" s="1" t="s">
        <v>811</v>
      </c>
      <c r="B308" s="5">
        <v>40641</v>
      </c>
      <c r="C308" s="20" t="s">
        <v>58</v>
      </c>
      <c r="D308" s="19">
        <v>3226000000</v>
      </c>
      <c r="E308" s="1" t="s">
        <v>338</v>
      </c>
      <c r="F308" s="1" t="s">
        <v>17</v>
      </c>
      <c r="G308" s="18">
        <f>G307</f>
        <v>2000000000</v>
      </c>
      <c r="L308" s="18">
        <f>L307</f>
        <v>500000</v>
      </c>
      <c r="M308" s="3">
        <v>5.3499999999999999E-2</v>
      </c>
      <c r="O308" s="2"/>
      <c r="Q308" s="5">
        <v>42468</v>
      </c>
      <c r="S308" s="4">
        <f>(Q308-B308)/365.24</f>
        <v>5.0021903405979629</v>
      </c>
    </row>
    <row r="309" spans="1:19">
      <c r="A309" s="1" t="s">
        <v>810</v>
      </c>
      <c r="B309" s="5">
        <v>41691</v>
      </c>
      <c r="C309" s="20" t="s">
        <v>803</v>
      </c>
      <c r="D309" s="19">
        <v>242867000</v>
      </c>
      <c r="E309" s="1" t="s">
        <v>338</v>
      </c>
      <c r="F309" s="1" t="s">
        <v>5</v>
      </c>
      <c r="G309" s="18">
        <f>G345</f>
        <v>300000000</v>
      </c>
      <c r="L309" s="18">
        <f>L308</f>
        <v>500000</v>
      </c>
      <c r="M309" s="3">
        <v>2.5000000000000001E-2</v>
      </c>
      <c r="N309" s="17" t="s">
        <v>335</v>
      </c>
      <c r="O309" s="2">
        <v>8.0000000000000002E-3</v>
      </c>
      <c r="Q309" s="5">
        <v>43425</v>
      </c>
      <c r="S309" s="4">
        <f>(Q309-B309)/365.24</f>
        <v>4.7475632460847663</v>
      </c>
    </row>
    <row r="310" spans="1:19">
      <c r="A310" s="1" t="s">
        <v>809</v>
      </c>
      <c r="B310" s="5">
        <v>41557</v>
      </c>
      <c r="C310" s="20" t="s">
        <v>803</v>
      </c>
      <c r="D310" s="19">
        <v>222731000</v>
      </c>
      <c r="E310" s="1" t="s">
        <v>338</v>
      </c>
      <c r="F310" s="1" t="s">
        <v>5</v>
      </c>
      <c r="G310" s="18">
        <f>G309</f>
        <v>300000000</v>
      </c>
      <c r="L310" s="18">
        <f>L309</f>
        <v>500000</v>
      </c>
      <c r="M310" s="3">
        <v>2.52E-2</v>
      </c>
      <c r="N310" s="17" t="s">
        <v>335</v>
      </c>
      <c r="O310" s="2">
        <v>8.2000000000000007E-3</v>
      </c>
      <c r="Q310" s="5">
        <v>42986</v>
      </c>
      <c r="S310" s="4">
        <f>(Q310-B310)/365.24</f>
        <v>3.9124958931113789</v>
      </c>
    </row>
    <row r="311" spans="1:19">
      <c r="A311" s="1" t="s">
        <v>808</v>
      </c>
      <c r="B311" s="5">
        <v>41543</v>
      </c>
      <c r="C311" s="20" t="s">
        <v>803</v>
      </c>
      <c r="D311" s="19">
        <v>222731000</v>
      </c>
      <c r="E311" s="1" t="s">
        <v>338</v>
      </c>
      <c r="F311" s="1" t="s">
        <v>5</v>
      </c>
      <c r="G311" s="18">
        <f>G310</f>
        <v>300000000</v>
      </c>
      <c r="L311" s="18">
        <f>L310</f>
        <v>500000</v>
      </c>
      <c r="M311" s="3">
        <v>2.3699999999999999E-2</v>
      </c>
      <c r="N311" s="17" t="s">
        <v>335</v>
      </c>
      <c r="O311" s="2">
        <v>6.8999999999999999E-3</v>
      </c>
      <c r="Q311" s="5">
        <v>42538</v>
      </c>
      <c r="S311" s="4">
        <f>(Q311-B311)/365.24</f>
        <v>2.7242361187164605</v>
      </c>
    </row>
    <row r="312" spans="1:19">
      <c r="A312" s="1" t="s">
        <v>807</v>
      </c>
      <c r="B312" s="5">
        <v>41401</v>
      </c>
      <c r="C312" s="20" t="s">
        <v>803</v>
      </c>
      <c r="D312" s="19">
        <v>222731000</v>
      </c>
      <c r="E312" s="1" t="s">
        <v>338</v>
      </c>
      <c r="F312" s="1" t="s">
        <v>5</v>
      </c>
      <c r="G312" s="18">
        <f>G311</f>
        <v>300000000</v>
      </c>
      <c r="L312" s="18">
        <f>L311</f>
        <v>500000</v>
      </c>
      <c r="M312" s="3">
        <v>2.5100000000000001E-2</v>
      </c>
      <c r="N312" s="17" t="s">
        <v>335</v>
      </c>
      <c r="O312" s="2">
        <v>7.7000000000000002E-3</v>
      </c>
      <c r="Q312" s="5">
        <v>42436</v>
      </c>
      <c r="S312" s="4">
        <f>(Q312-B312)/365.24</f>
        <v>2.8337531486146097</v>
      </c>
    </row>
    <row r="313" spans="1:19">
      <c r="A313" s="1" t="s">
        <v>806</v>
      </c>
      <c r="B313" s="5">
        <v>41337</v>
      </c>
      <c r="C313" s="20" t="s">
        <v>803</v>
      </c>
      <c r="D313" s="19">
        <v>222731000</v>
      </c>
      <c r="E313" s="1" t="s">
        <v>338</v>
      </c>
      <c r="F313" s="1" t="s">
        <v>5</v>
      </c>
      <c r="G313" s="18">
        <f>G312</f>
        <v>300000000</v>
      </c>
      <c r="L313" s="18">
        <f>L312</f>
        <v>500000</v>
      </c>
      <c r="M313" s="3">
        <v>2.8199999999999999E-2</v>
      </c>
      <c r="N313" s="17" t="s">
        <v>335</v>
      </c>
      <c r="O313" s="2">
        <v>9.4999999999999998E-3</v>
      </c>
      <c r="Q313" s="5">
        <v>42797</v>
      </c>
      <c r="S313" s="4">
        <f>(Q313-B313)/365.24</f>
        <v>3.9973715912824441</v>
      </c>
    </row>
    <row r="314" spans="1:19">
      <c r="A314" s="1" t="s">
        <v>805</v>
      </c>
      <c r="B314" s="5">
        <v>41239</v>
      </c>
      <c r="C314" s="20" t="s">
        <v>803</v>
      </c>
      <c r="D314" s="19">
        <v>219625000</v>
      </c>
      <c r="E314" s="1" t="s">
        <v>338</v>
      </c>
      <c r="F314" s="1" t="s">
        <v>17</v>
      </c>
      <c r="G314" s="18">
        <f>G313</f>
        <v>300000000</v>
      </c>
      <c r="L314" s="18">
        <f>L313</f>
        <v>500000</v>
      </c>
      <c r="M314" s="3">
        <v>3.5499999999999997E-2</v>
      </c>
      <c r="O314" s="2"/>
      <c r="Q314" s="5">
        <v>42699</v>
      </c>
      <c r="S314" s="4">
        <f>(Q314-B314)/365.24</f>
        <v>3.9973715912824441</v>
      </c>
    </row>
    <row r="315" spans="1:19">
      <c r="A315" s="1" t="s">
        <v>804</v>
      </c>
      <c r="B315" s="5">
        <v>40770</v>
      </c>
      <c r="C315" s="20" t="s">
        <v>803</v>
      </c>
      <c r="D315" s="19">
        <v>194013000</v>
      </c>
      <c r="E315" s="1" t="s">
        <v>338</v>
      </c>
      <c r="F315" s="1" t="s">
        <v>5</v>
      </c>
      <c r="G315" s="18">
        <f>G314</f>
        <v>300000000</v>
      </c>
      <c r="L315" s="18">
        <f>L314</f>
        <v>500000</v>
      </c>
      <c r="M315" s="3">
        <v>4.1500000000000002E-2</v>
      </c>
      <c r="N315" s="17" t="s">
        <v>335</v>
      </c>
      <c r="O315" s="2">
        <v>0.01</v>
      </c>
      <c r="Q315" s="5">
        <v>41866</v>
      </c>
      <c r="S315" s="4">
        <f>(Q315-B315)/365.24</f>
        <v>3.000766619209287</v>
      </c>
    </row>
    <row r="316" spans="1:19">
      <c r="A316" s="1" t="s">
        <v>802</v>
      </c>
      <c r="B316" s="5">
        <v>41618</v>
      </c>
      <c r="C316" s="20" t="s">
        <v>800</v>
      </c>
      <c r="D316" s="19">
        <v>111326000</v>
      </c>
      <c r="E316" s="1" t="s">
        <v>338</v>
      </c>
      <c r="F316" s="1" t="s">
        <v>5</v>
      </c>
      <c r="G316" s="18">
        <f>G325</f>
        <v>100000000</v>
      </c>
      <c r="L316" s="18">
        <f>L300</f>
        <v>1000000</v>
      </c>
      <c r="M316" s="3">
        <v>2.1700000000000001E-2</v>
      </c>
      <c r="N316" s="17" t="s">
        <v>335</v>
      </c>
      <c r="O316" s="2">
        <v>5.0000000000000001E-3</v>
      </c>
      <c r="Q316" s="5">
        <v>42165</v>
      </c>
      <c r="S316" s="4">
        <f>(Q316-B316)/365.24</f>
        <v>1.4976453838571897</v>
      </c>
    </row>
    <row r="317" spans="1:19">
      <c r="A317" s="1" t="s">
        <v>801</v>
      </c>
      <c r="B317" s="5">
        <v>41610</v>
      </c>
      <c r="C317" s="20" t="s">
        <v>800</v>
      </c>
      <c r="D317" s="19">
        <v>111326000</v>
      </c>
      <c r="E317" s="1" t="s">
        <v>338</v>
      </c>
      <c r="F317" s="1" t="s">
        <v>5</v>
      </c>
      <c r="G317" s="18">
        <f>G316</f>
        <v>100000000</v>
      </c>
      <c r="L317" s="18">
        <f>L316</f>
        <v>1000000</v>
      </c>
      <c r="M317" s="3">
        <v>2.5000000000000001E-2</v>
      </c>
      <c r="N317" s="17" t="s">
        <v>335</v>
      </c>
      <c r="O317" s="2">
        <v>8.3999999999999995E-3</v>
      </c>
      <c r="Q317" s="5">
        <v>42706</v>
      </c>
      <c r="S317" s="4">
        <f>(Q317-B317)/365.24</f>
        <v>3.000766619209287</v>
      </c>
    </row>
    <row r="318" spans="1:19">
      <c r="A318" s="1" t="s">
        <v>799</v>
      </c>
      <c r="B318" s="5">
        <v>41513</v>
      </c>
      <c r="C318" s="20" t="s">
        <v>793</v>
      </c>
      <c r="D318" s="19">
        <v>440195000</v>
      </c>
      <c r="E318" s="1" t="s">
        <v>338</v>
      </c>
      <c r="F318" s="1" t="s">
        <v>5</v>
      </c>
      <c r="G318" s="18">
        <f>G418</f>
        <v>400000000</v>
      </c>
      <c r="L318" s="18">
        <f>L384</f>
        <v>1000000</v>
      </c>
      <c r="M318" s="3">
        <v>2.58E-2</v>
      </c>
      <c r="N318" s="17" t="s">
        <v>335</v>
      </c>
      <c r="O318" s="2">
        <v>8.5000000000000006E-3</v>
      </c>
      <c r="Q318" s="5">
        <v>43339</v>
      </c>
      <c r="S318" s="4">
        <f>(Q318-B318)/365.24</f>
        <v>4.9994524148505093</v>
      </c>
    </row>
    <row r="319" spans="1:19">
      <c r="A319" s="1" t="s">
        <v>798</v>
      </c>
      <c r="B319" s="5">
        <v>41180</v>
      </c>
      <c r="C319" s="20" t="s">
        <v>793</v>
      </c>
      <c r="D319" s="19">
        <v>454779000</v>
      </c>
      <c r="E319" s="1" t="s">
        <v>338</v>
      </c>
      <c r="F319" s="1" t="s">
        <v>5</v>
      </c>
      <c r="G319" s="18">
        <f>G357</f>
        <v>300000000</v>
      </c>
      <c r="L319" s="18">
        <f>L379</f>
        <v>500000</v>
      </c>
      <c r="M319" s="3">
        <v>3.3700000000000001E-2</v>
      </c>
      <c r="N319" s="17" t="s">
        <v>335</v>
      </c>
      <c r="O319" s="2">
        <v>1.4E-2</v>
      </c>
      <c r="Q319" s="5">
        <v>43006</v>
      </c>
      <c r="S319" s="4">
        <f>(Q319-B319)/365.24</f>
        <v>4.9994524148505093</v>
      </c>
    </row>
    <row r="320" spans="1:19">
      <c r="A320" s="1" t="s">
        <v>797</v>
      </c>
      <c r="B320" s="5">
        <v>41012</v>
      </c>
      <c r="C320" s="20" t="s">
        <v>793</v>
      </c>
      <c r="D320" s="19">
        <v>454779000</v>
      </c>
      <c r="E320" s="1" t="s">
        <v>338</v>
      </c>
      <c r="F320" s="1" t="s">
        <v>5</v>
      </c>
      <c r="G320" s="18">
        <f>G319</f>
        <v>300000000</v>
      </c>
      <c r="L320" s="18">
        <f>L319</f>
        <v>500000</v>
      </c>
      <c r="M320" s="3">
        <v>3.5400000000000001E-2</v>
      </c>
      <c r="N320" s="17" t="s">
        <v>335</v>
      </c>
      <c r="O320" s="2">
        <v>1.23E-2</v>
      </c>
      <c r="Q320" s="5">
        <v>42107</v>
      </c>
      <c r="S320" s="4">
        <f>(Q320-B320)/365.24</f>
        <v>2.9980286934618334</v>
      </c>
    </row>
    <row r="321" spans="1:22">
      <c r="A321" s="1" t="s">
        <v>796</v>
      </c>
      <c r="B321" s="5">
        <v>40764</v>
      </c>
      <c r="C321" s="20" t="s">
        <v>793</v>
      </c>
      <c r="D321" s="19">
        <v>429936000</v>
      </c>
      <c r="E321" s="1" t="s">
        <v>338</v>
      </c>
      <c r="F321" s="1" t="s">
        <v>5</v>
      </c>
      <c r="G321" s="18">
        <f>G320</f>
        <v>300000000</v>
      </c>
      <c r="L321" s="18">
        <f>L320</f>
        <v>500000</v>
      </c>
      <c r="M321" s="3">
        <v>4.3700000000000003E-2</v>
      </c>
      <c r="N321" s="17" t="s">
        <v>335</v>
      </c>
      <c r="O321" s="2">
        <v>1.23E-2</v>
      </c>
      <c r="Q321" s="5">
        <v>42591</v>
      </c>
      <c r="S321" s="4">
        <f>(Q321-B321)/365.24</f>
        <v>5.0021903405979629</v>
      </c>
    </row>
    <row r="322" spans="1:22">
      <c r="A322" s="1" t="s">
        <v>795</v>
      </c>
      <c r="B322" s="5">
        <v>40723</v>
      </c>
      <c r="C322" s="20" t="s">
        <v>793</v>
      </c>
      <c r="D322" s="19">
        <v>429936000</v>
      </c>
      <c r="E322" s="1" t="s">
        <v>338</v>
      </c>
      <c r="F322" s="1" t="s">
        <v>5</v>
      </c>
      <c r="G322" s="18">
        <f>G321</f>
        <v>300000000</v>
      </c>
      <c r="L322" s="18">
        <f>L321</f>
        <v>500000</v>
      </c>
      <c r="M322" s="3">
        <v>4.1399999999999999E-2</v>
      </c>
      <c r="N322" s="17" t="s">
        <v>335</v>
      </c>
      <c r="O322" s="2">
        <v>1.23E-2</v>
      </c>
      <c r="Q322" s="5">
        <v>42550</v>
      </c>
      <c r="S322" s="4">
        <f>(Q322-B322)/365.24</f>
        <v>5.0021903405979629</v>
      </c>
    </row>
    <row r="323" spans="1:22">
      <c r="A323" s="1" t="s">
        <v>794</v>
      </c>
      <c r="B323" s="5">
        <v>40632</v>
      </c>
      <c r="C323" s="20" t="s">
        <v>793</v>
      </c>
      <c r="D323" s="19">
        <v>429936000</v>
      </c>
      <c r="E323" s="1" t="s">
        <v>338</v>
      </c>
      <c r="F323" s="1" t="s">
        <v>5</v>
      </c>
      <c r="G323" s="18">
        <f>G322</f>
        <v>300000000</v>
      </c>
      <c r="L323" s="18">
        <f>L322</f>
        <v>500000</v>
      </c>
      <c r="M323" s="3">
        <v>3.7900000000000003E-2</v>
      </c>
      <c r="N323" s="17" t="s">
        <v>335</v>
      </c>
      <c r="O323" s="2">
        <v>1.15E-2</v>
      </c>
      <c r="Q323" s="5">
        <v>42459</v>
      </c>
      <c r="S323" s="4">
        <f>(Q323-B323)/365.24</f>
        <v>5.0021903405979629</v>
      </c>
    </row>
    <row r="324" spans="1:22">
      <c r="A324" s="1" t="s">
        <v>792</v>
      </c>
      <c r="B324" s="5">
        <v>41564</v>
      </c>
      <c r="C324" s="20" t="s">
        <v>787</v>
      </c>
      <c r="D324" s="19">
        <v>257942000</v>
      </c>
      <c r="E324" s="1" t="s">
        <v>338</v>
      </c>
      <c r="F324" s="1" t="s">
        <v>5</v>
      </c>
      <c r="G324" s="18">
        <f>G369</f>
        <v>150000000</v>
      </c>
      <c r="L324" s="18">
        <f>L323</f>
        <v>500000</v>
      </c>
      <c r="M324" s="3">
        <v>2.6200000000000001E-2</v>
      </c>
      <c r="N324" s="17" t="s">
        <v>335</v>
      </c>
      <c r="O324" s="2">
        <v>9.1999999999999998E-3</v>
      </c>
      <c r="Q324" s="5">
        <v>42811</v>
      </c>
      <c r="S324" s="4">
        <f>(Q324-B324)/365.24</f>
        <v>3.4141934070748001</v>
      </c>
    </row>
    <row r="325" spans="1:22">
      <c r="A325" s="1" t="s">
        <v>791</v>
      </c>
      <c r="B325" s="5">
        <v>41535</v>
      </c>
      <c r="C325" s="20" t="s">
        <v>787</v>
      </c>
      <c r="D325" s="19">
        <v>257942000</v>
      </c>
      <c r="E325" s="1" t="s">
        <v>338</v>
      </c>
      <c r="F325" s="1" t="s">
        <v>5</v>
      </c>
      <c r="G325" s="18">
        <f>G373</f>
        <v>100000000</v>
      </c>
      <c r="L325" s="18">
        <f>L376</f>
        <v>100000</v>
      </c>
      <c r="M325" s="3">
        <v>3.9800000000000002E-2</v>
      </c>
      <c r="N325" s="17" t="s">
        <v>335</v>
      </c>
      <c r="O325" s="2">
        <v>2.2499999999999999E-2</v>
      </c>
      <c r="Q325" s="5">
        <v>45187</v>
      </c>
      <c r="S325" s="4">
        <f>(Q325-B325)/365.24</f>
        <v>9.9989048297010186</v>
      </c>
      <c r="V325" s="1" t="s">
        <v>56</v>
      </c>
    </row>
    <row r="326" spans="1:22">
      <c r="A326" s="1" t="s">
        <v>790</v>
      </c>
      <c r="B326" s="5">
        <v>41423</v>
      </c>
      <c r="C326" s="20" t="s">
        <v>787</v>
      </c>
      <c r="D326" s="19">
        <v>257942000</v>
      </c>
      <c r="E326" s="1" t="s">
        <v>338</v>
      </c>
      <c r="F326" s="1" t="s">
        <v>5</v>
      </c>
      <c r="G326" s="18">
        <f>G318</f>
        <v>400000000</v>
      </c>
      <c r="L326" s="18">
        <f>L318</f>
        <v>1000000</v>
      </c>
      <c r="M326" s="3">
        <v>2.69E-2</v>
      </c>
      <c r="N326" s="17" t="s">
        <v>335</v>
      </c>
      <c r="O326" s="2">
        <v>9.1999999999999998E-3</v>
      </c>
      <c r="Q326" s="5">
        <v>43249</v>
      </c>
      <c r="S326" s="4">
        <f>(Q326-B326)/365.24</f>
        <v>4.9994524148505093</v>
      </c>
    </row>
    <row r="327" spans="1:22">
      <c r="A327" s="1" t="s">
        <v>789</v>
      </c>
      <c r="B327" s="5">
        <v>41222</v>
      </c>
      <c r="C327" s="20" t="s">
        <v>787</v>
      </c>
      <c r="D327" s="19">
        <v>252178000</v>
      </c>
      <c r="E327" s="1" t="s">
        <v>338</v>
      </c>
      <c r="F327" s="1" t="s">
        <v>5</v>
      </c>
      <c r="G327" s="18">
        <f>G326</f>
        <v>400000000</v>
      </c>
      <c r="L327" s="18">
        <f>L326</f>
        <v>1000000</v>
      </c>
      <c r="M327" s="3">
        <v>3.09E-2</v>
      </c>
      <c r="N327" s="17" t="s">
        <v>335</v>
      </c>
      <c r="O327" s="2">
        <v>1.18E-2</v>
      </c>
      <c r="Q327" s="5">
        <v>42499</v>
      </c>
      <c r="S327" s="4">
        <f>(Q327-B327)/365.24</f>
        <v>3.4963311794984118</v>
      </c>
    </row>
    <row r="328" spans="1:22">
      <c r="A328" s="1" t="s">
        <v>788</v>
      </c>
      <c r="B328" s="5">
        <v>40669</v>
      </c>
      <c r="C328" s="20" t="s">
        <v>787</v>
      </c>
      <c r="D328" s="19">
        <v>231410000</v>
      </c>
      <c r="E328" s="1" t="s">
        <v>338</v>
      </c>
      <c r="F328" s="1" t="s">
        <v>5</v>
      </c>
      <c r="G328" s="18">
        <f>G327</f>
        <v>400000000</v>
      </c>
      <c r="L328" s="18">
        <f>L324</f>
        <v>500000</v>
      </c>
      <c r="M328" s="3">
        <v>3.49E-2</v>
      </c>
      <c r="N328" s="17" t="s">
        <v>335</v>
      </c>
      <c r="O328" s="2">
        <v>8.5000000000000006E-3</v>
      </c>
      <c r="Q328" s="5">
        <v>41949</v>
      </c>
      <c r="S328" s="4">
        <f>(Q328-B328)/365.24</f>
        <v>3.5045449567407729</v>
      </c>
    </row>
    <row r="329" spans="1:22">
      <c r="A329" s="1" t="s">
        <v>786</v>
      </c>
      <c r="B329" s="5">
        <v>41446</v>
      </c>
      <c r="C329" s="20" t="s">
        <v>785</v>
      </c>
      <c r="D329" s="19">
        <v>147162782</v>
      </c>
      <c r="E329" s="1" t="s">
        <v>25</v>
      </c>
      <c r="F329" s="1" t="s">
        <v>5</v>
      </c>
      <c r="G329" s="18">
        <f>G402</f>
        <v>500000000</v>
      </c>
      <c r="L329" s="18">
        <f>L328</f>
        <v>500000</v>
      </c>
      <c r="M329" s="3">
        <v>3.1300000000000001E-2</v>
      </c>
      <c r="N329" s="17" t="s">
        <v>335</v>
      </c>
      <c r="O329" s="2">
        <v>1.4500000000000001E-2</v>
      </c>
      <c r="Q329" s="5">
        <v>43272</v>
      </c>
      <c r="S329" s="4">
        <f>(Q329-B329)/365.24</f>
        <v>4.9994524148505093</v>
      </c>
    </row>
    <row r="330" spans="1:22">
      <c r="A330" s="1" t="s">
        <v>784</v>
      </c>
      <c r="B330" s="5">
        <v>41450</v>
      </c>
      <c r="C330" s="20" t="s">
        <v>782</v>
      </c>
      <c r="D330" s="19">
        <v>19177000000</v>
      </c>
      <c r="E330" s="1" t="s">
        <v>341</v>
      </c>
      <c r="F330" s="1" t="s">
        <v>5</v>
      </c>
      <c r="G330" s="18">
        <v>750000000</v>
      </c>
      <c r="L330" s="18">
        <f>L327</f>
        <v>1000000</v>
      </c>
      <c r="M330" s="3">
        <v>3.3399999999999999E-2</v>
      </c>
      <c r="N330" s="17" t="s">
        <v>335</v>
      </c>
      <c r="O330" s="2">
        <v>1.6500000000000001E-2</v>
      </c>
      <c r="Q330" s="5">
        <v>43490</v>
      </c>
      <c r="S330" s="4">
        <f>(Q330-B330)/365.24</f>
        <v>5.5853685248056069</v>
      </c>
    </row>
    <row r="331" spans="1:22">
      <c r="A331" s="1" t="s">
        <v>783</v>
      </c>
      <c r="B331" s="5">
        <v>41101</v>
      </c>
      <c r="C331" s="20" t="s">
        <v>782</v>
      </c>
      <c r="D331" s="19">
        <v>18133000000</v>
      </c>
      <c r="E331" s="1" t="s">
        <v>341</v>
      </c>
      <c r="F331" s="1" t="s">
        <v>5</v>
      </c>
      <c r="G331" s="18">
        <f>G330</f>
        <v>750000000</v>
      </c>
      <c r="L331" s="18">
        <f>L329</f>
        <v>500000</v>
      </c>
      <c r="M331" s="3">
        <v>4.9500000000000002E-2</v>
      </c>
      <c r="N331" s="17" t="s">
        <v>335</v>
      </c>
      <c r="O331" s="2">
        <v>2.7E-2</v>
      </c>
      <c r="Q331" s="5">
        <v>42927</v>
      </c>
      <c r="S331" s="4">
        <f>(Q331-B331)/365.24</f>
        <v>4.9994524148505093</v>
      </c>
    </row>
    <row r="332" spans="1:22">
      <c r="A332" s="1" t="s">
        <v>781</v>
      </c>
      <c r="B332" s="5">
        <v>41682</v>
      </c>
      <c r="C332" s="20" t="s">
        <v>770</v>
      </c>
      <c r="D332" s="19">
        <v>2558000000</v>
      </c>
      <c r="E332" s="1" t="s">
        <v>338</v>
      </c>
      <c r="F332" s="1" t="s">
        <v>5</v>
      </c>
      <c r="G332" s="18">
        <f>G448</f>
        <v>1500000000</v>
      </c>
      <c r="L332" s="18">
        <f>L330</f>
        <v>1000000</v>
      </c>
      <c r="M332" s="3">
        <v>2.2700000000000001E-2</v>
      </c>
      <c r="N332" s="17" t="s">
        <v>335</v>
      </c>
      <c r="O332" s="2">
        <v>6.1999999999999998E-3</v>
      </c>
      <c r="Q332" s="5">
        <v>43508</v>
      </c>
      <c r="S332" s="4">
        <f>(Q332-B332)/365.24</f>
        <v>4.9994524148505093</v>
      </c>
    </row>
    <row r="333" spans="1:22">
      <c r="A333" s="1" t="s">
        <v>780</v>
      </c>
      <c r="B333" s="5">
        <v>41593</v>
      </c>
      <c r="C333" s="20" t="s">
        <v>770</v>
      </c>
      <c r="D333" s="19">
        <v>2845000000</v>
      </c>
      <c r="E333" s="1" t="s">
        <v>338</v>
      </c>
      <c r="F333" s="1" t="s">
        <v>17</v>
      </c>
      <c r="G333" s="18">
        <f>G332</f>
        <v>1500000000</v>
      </c>
      <c r="L333" s="18">
        <f>L332</f>
        <v>1000000</v>
      </c>
      <c r="M333" s="3">
        <v>3.4799999999999998E-2</v>
      </c>
      <c r="O333" s="2"/>
      <c r="Q333" s="5">
        <v>43600</v>
      </c>
      <c r="S333" s="4">
        <f>(Q333-B333)/365.24</f>
        <v>5.4950169751396345</v>
      </c>
    </row>
    <row r="334" spans="1:22">
      <c r="A334" s="1" t="s">
        <v>779</v>
      </c>
      <c r="B334" s="5">
        <v>41596</v>
      </c>
      <c r="C334" s="20" t="s">
        <v>770</v>
      </c>
      <c r="D334" s="19">
        <v>2845000000</v>
      </c>
      <c r="E334" s="1" t="s">
        <v>338</v>
      </c>
      <c r="F334" s="1" t="s">
        <v>17</v>
      </c>
      <c r="G334" s="18">
        <f>G333</f>
        <v>1500000000</v>
      </c>
      <c r="L334" s="18">
        <f>L333</f>
        <v>1000000</v>
      </c>
      <c r="M334" s="3">
        <v>3.85E-2</v>
      </c>
      <c r="O334" s="2"/>
      <c r="Q334" s="5">
        <v>44334</v>
      </c>
      <c r="S334" s="4">
        <f>(Q334-B334)/365.24</f>
        <v>7.4964406965283104</v>
      </c>
    </row>
    <row r="335" spans="1:22">
      <c r="A335" s="1" t="s">
        <v>778</v>
      </c>
      <c r="B335" s="5">
        <v>41289</v>
      </c>
      <c r="C335" s="20" t="s">
        <v>770</v>
      </c>
      <c r="D335" s="19">
        <v>2845000000</v>
      </c>
      <c r="E335" s="1" t="s">
        <v>338</v>
      </c>
      <c r="F335" s="1" t="s">
        <v>5</v>
      </c>
      <c r="G335" s="18">
        <f>G334</f>
        <v>1500000000</v>
      </c>
      <c r="L335" s="18">
        <f>L334</f>
        <v>1000000</v>
      </c>
      <c r="M335" s="3">
        <v>2.9399999999999999E-2</v>
      </c>
      <c r="N335" s="17" t="s">
        <v>335</v>
      </c>
      <c r="O335" s="2">
        <v>1.0699999999999999E-2</v>
      </c>
      <c r="Q335" s="5">
        <v>43115</v>
      </c>
      <c r="S335" s="4">
        <f>(Q335-B335)/365.24</f>
        <v>4.9994524148505093</v>
      </c>
    </row>
    <row r="336" spans="1:22">
      <c r="A336" s="1" t="s">
        <v>777</v>
      </c>
      <c r="B336" s="5">
        <v>41292</v>
      </c>
      <c r="C336" s="20" t="s">
        <v>770</v>
      </c>
      <c r="D336" s="19">
        <v>2845000000</v>
      </c>
      <c r="E336" s="1" t="s">
        <v>338</v>
      </c>
      <c r="F336" s="1" t="s">
        <v>17</v>
      </c>
      <c r="G336" s="18">
        <f>G335</f>
        <v>1500000000</v>
      </c>
      <c r="L336" s="18">
        <f>L377</f>
        <v>100000</v>
      </c>
      <c r="M336" s="3">
        <v>3.5999999999999997E-2</v>
      </c>
      <c r="O336" s="2"/>
      <c r="Q336" s="5">
        <v>43269</v>
      </c>
      <c r="S336" s="4">
        <f>(Q336-B336)/365.24</f>
        <v>5.412879202716022</v>
      </c>
    </row>
    <row r="337" spans="1:22">
      <c r="A337" s="1" t="s">
        <v>776</v>
      </c>
      <c r="B337" s="5">
        <v>41080</v>
      </c>
      <c r="C337" s="20" t="s">
        <v>770</v>
      </c>
      <c r="D337" s="19">
        <v>2823000000</v>
      </c>
      <c r="E337" s="1" t="s">
        <v>338</v>
      </c>
      <c r="F337" s="1" t="s">
        <v>17</v>
      </c>
      <c r="G337" s="18">
        <f>G466</f>
        <v>2000000000</v>
      </c>
      <c r="L337" s="18">
        <f>L331</f>
        <v>500000</v>
      </c>
      <c r="M337" s="3">
        <v>4.7500000000000001E-2</v>
      </c>
      <c r="O337" s="2"/>
      <c r="Q337" s="5">
        <v>42998</v>
      </c>
      <c r="S337" s="4">
        <f>(Q337-B337)/365.24</f>
        <v>5.2513415836162523</v>
      </c>
    </row>
    <row r="338" spans="1:22">
      <c r="A338" s="1" t="s">
        <v>775</v>
      </c>
      <c r="B338" s="5">
        <v>41011</v>
      </c>
      <c r="C338" s="20" t="s">
        <v>770</v>
      </c>
      <c r="D338" s="19">
        <v>2823000000</v>
      </c>
      <c r="E338" s="1" t="s">
        <v>338</v>
      </c>
      <c r="F338" s="1" t="s">
        <v>17</v>
      </c>
      <c r="G338" s="18">
        <f>G335</f>
        <v>1500000000</v>
      </c>
      <c r="L338" s="18">
        <f>L337</f>
        <v>500000</v>
      </c>
      <c r="M338" s="3">
        <v>5.1999999999999998E-2</v>
      </c>
      <c r="O338" s="2"/>
      <c r="Q338" s="5">
        <v>44663</v>
      </c>
      <c r="S338" s="4">
        <f>(Q338-B338)/365.24</f>
        <v>9.9989048297010186</v>
      </c>
    </row>
    <row r="339" spans="1:22">
      <c r="A339" s="1" t="s">
        <v>774</v>
      </c>
      <c r="B339" s="5">
        <v>40835</v>
      </c>
      <c r="C339" s="20" t="s">
        <v>770</v>
      </c>
      <c r="D339" s="19">
        <v>2549000000</v>
      </c>
      <c r="E339" s="1" t="s">
        <v>338</v>
      </c>
      <c r="F339" s="1" t="s">
        <v>17</v>
      </c>
      <c r="G339" s="18">
        <f>G338</f>
        <v>1500000000</v>
      </c>
      <c r="L339" s="18">
        <f>L338</f>
        <v>500000</v>
      </c>
      <c r="M339" s="3">
        <v>5.0200000000000002E-2</v>
      </c>
      <c r="O339" s="2"/>
      <c r="Q339" s="5">
        <v>43027</v>
      </c>
      <c r="S339" s="4">
        <f>(Q339-B339)/365.24</f>
        <v>6.001533238418574</v>
      </c>
    </row>
    <row r="340" spans="1:22">
      <c r="A340" s="1" t="s">
        <v>773</v>
      </c>
      <c r="B340" s="5">
        <v>40772</v>
      </c>
      <c r="C340" s="20" t="s">
        <v>770</v>
      </c>
      <c r="D340" s="19">
        <v>2549000000</v>
      </c>
      <c r="E340" s="1" t="s">
        <v>338</v>
      </c>
      <c r="F340" s="1" t="s">
        <v>5</v>
      </c>
      <c r="G340" s="18">
        <f>G337</f>
        <v>2000000000</v>
      </c>
      <c r="L340" s="18">
        <f>L339</f>
        <v>500000</v>
      </c>
      <c r="M340" s="3">
        <v>4.4299999999999999E-2</v>
      </c>
      <c r="N340" s="17" t="s">
        <v>335</v>
      </c>
      <c r="O340" s="2">
        <v>1.2800000000000001E-2</v>
      </c>
      <c r="Q340" s="5">
        <v>42599</v>
      </c>
      <c r="S340" s="4">
        <f>(Q340-B340)/365.24</f>
        <v>5.0021903405979629</v>
      </c>
    </row>
    <row r="341" spans="1:22">
      <c r="A341" s="1" t="s">
        <v>772</v>
      </c>
      <c r="B341" s="5">
        <v>40571</v>
      </c>
      <c r="C341" s="20" t="s">
        <v>770</v>
      </c>
      <c r="D341" s="19">
        <v>2549000000</v>
      </c>
      <c r="E341" s="1" t="s">
        <v>338</v>
      </c>
      <c r="F341" s="1" t="s">
        <v>17</v>
      </c>
      <c r="G341" s="18">
        <f>G381</f>
        <v>1000000000</v>
      </c>
      <c r="L341" s="18">
        <f>L340</f>
        <v>500000</v>
      </c>
      <c r="M341" s="3">
        <v>4.3499999999999997E-2</v>
      </c>
      <c r="O341" s="2"/>
      <c r="Q341" s="5">
        <v>41848</v>
      </c>
      <c r="S341" s="4">
        <f>(Q341-B341)/365.24</f>
        <v>3.4963311794984118</v>
      </c>
    </row>
    <row r="342" spans="1:22">
      <c r="A342" s="1" t="s">
        <v>771</v>
      </c>
      <c r="B342" s="5">
        <v>40568</v>
      </c>
      <c r="C342" s="20" t="s">
        <v>770</v>
      </c>
      <c r="D342" s="19">
        <v>2549000000</v>
      </c>
      <c r="E342" s="1" t="s">
        <v>338</v>
      </c>
      <c r="F342" s="1" t="s">
        <v>5</v>
      </c>
      <c r="G342" s="18">
        <f>G339</f>
        <v>1500000000</v>
      </c>
      <c r="L342" s="18">
        <f>L341</f>
        <v>500000</v>
      </c>
      <c r="M342" s="3">
        <v>3.7100000000000001E-2</v>
      </c>
      <c r="N342" s="17" t="s">
        <v>335</v>
      </c>
      <c r="O342" s="2">
        <v>1.0999999999999999E-2</v>
      </c>
      <c r="Q342" s="5">
        <v>42394</v>
      </c>
      <c r="S342" s="4">
        <f>(Q342-B342)/365.24</f>
        <v>4.9994524148505093</v>
      </c>
    </row>
    <row r="343" spans="1:22">
      <c r="A343" s="1" t="s">
        <v>769</v>
      </c>
      <c r="B343" s="5">
        <v>41547</v>
      </c>
      <c r="C343" s="20" t="s">
        <v>766</v>
      </c>
      <c r="D343" s="19">
        <v>255700000</v>
      </c>
      <c r="E343" s="1" t="s">
        <v>338</v>
      </c>
      <c r="F343" s="1" t="s">
        <v>5</v>
      </c>
      <c r="G343" s="18">
        <f>G320</f>
        <v>300000000</v>
      </c>
      <c r="L343" s="18">
        <f>L342</f>
        <v>500000</v>
      </c>
      <c r="M343" s="3">
        <v>2.5499999999999998E-2</v>
      </c>
      <c r="N343" s="17" t="s">
        <v>335</v>
      </c>
      <c r="O343" s="2">
        <v>8.5000000000000006E-3</v>
      </c>
      <c r="Q343" s="5">
        <v>42824</v>
      </c>
      <c r="S343" s="4">
        <f>(Q343-B343)/365.24</f>
        <v>3.4963311794984118</v>
      </c>
    </row>
    <row r="344" spans="1:22">
      <c r="A344" s="1" t="s">
        <v>768</v>
      </c>
      <c r="B344" s="5">
        <v>41158</v>
      </c>
      <c r="C344" s="20" t="s">
        <v>766</v>
      </c>
      <c r="D344" s="19">
        <v>263390000</v>
      </c>
      <c r="E344" s="1" t="s">
        <v>338</v>
      </c>
      <c r="F344" s="1" t="s">
        <v>5</v>
      </c>
      <c r="G344" s="18">
        <f>G343</f>
        <v>300000000</v>
      </c>
      <c r="L344" s="18">
        <f>L343</f>
        <v>500000</v>
      </c>
      <c r="M344" s="3">
        <v>3.56E-2</v>
      </c>
      <c r="N344" s="17" t="s">
        <v>335</v>
      </c>
      <c r="O344" s="2">
        <v>1.55E-2</v>
      </c>
      <c r="Q344" s="5">
        <v>42619</v>
      </c>
      <c r="S344" s="4">
        <f>(Q344-B344)/365.24</f>
        <v>4.0001095170298981</v>
      </c>
    </row>
    <row r="345" spans="1:22">
      <c r="A345" s="1" t="s">
        <v>767</v>
      </c>
      <c r="B345" s="5">
        <v>41017</v>
      </c>
      <c r="C345" s="20" t="s">
        <v>766</v>
      </c>
      <c r="D345" s="19">
        <v>263390000</v>
      </c>
      <c r="E345" s="1" t="s">
        <v>338</v>
      </c>
      <c r="F345" s="1" t="s">
        <v>5</v>
      </c>
      <c r="G345" s="18">
        <f>G344</f>
        <v>300000000</v>
      </c>
      <c r="L345" s="18">
        <f>L344</f>
        <v>500000</v>
      </c>
      <c r="M345" s="3">
        <v>3.2099999999999997E-2</v>
      </c>
      <c r="N345" s="17" t="s">
        <v>335</v>
      </c>
      <c r="O345" s="2">
        <v>8.9999999999999993E-3</v>
      </c>
      <c r="Q345" s="5">
        <v>41745</v>
      </c>
      <c r="S345" s="4">
        <f>(Q345-B345)/365.24</f>
        <v>1.9932099441463147</v>
      </c>
    </row>
    <row r="346" spans="1:22">
      <c r="A346" s="1" t="s">
        <v>765</v>
      </c>
      <c r="B346" s="5">
        <v>41409</v>
      </c>
      <c r="C346" s="20" t="s">
        <v>762</v>
      </c>
      <c r="D346" s="19">
        <v>239701000</v>
      </c>
      <c r="E346" s="1" t="s">
        <v>338</v>
      </c>
      <c r="F346" s="1" t="s">
        <v>5</v>
      </c>
      <c r="G346" s="18">
        <f>G375</f>
        <v>200000000</v>
      </c>
      <c r="L346" s="18">
        <f>L335</f>
        <v>1000000</v>
      </c>
      <c r="M346" s="3">
        <v>2.75E-2</v>
      </c>
      <c r="N346" s="17" t="s">
        <v>335</v>
      </c>
      <c r="O346" s="2">
        <v>9.7000000000000003E-3</v>
      </c>
      <c r="Q346" s="5">
        <v>43235</v>
      </c>
      <c r="S346" s="4">
        <f>(Q346-B346)/365.24</f>
        <v>4.9994524148505093</v>
      </c>
    </row>
    <row r="347" spans="1:22">
      <c r="A347" s="1" t="s">
        <v>764</v>
      </c>
      <c r="B347" s="5">
        <v>41066</v>
      </c>
      <c r="C347" s="20" t="s">
        <v>762</v>
      </c>
      <c r="D347" s="19">
        <v>226498000</v>
      </c>
      <c r="E347" s="1" t="s">
        <v>338</v>
      </c>
      <c r="F347" s="1" t="s">
        <v>5</v>
      </c>
      <c r="G347" s="18">
        <v>450000000</v>
      </c>
      <c r="L347" s="18">
        <f>L345</f>
        <v>500000</v>
      </c>
      <c r="M347" s="3">
        <v>4.1599999999999998E-2</v>
      </c>
      <c r="N347" s="17" t="s">
        <v>335</v>
      </c>
      <c r="O347" s="2">
        <v>1.84E-2</v>
      </c>
      <c r="Q347" s="5">
        <v>42527</v>
      </c>
      <c r="S347" s="4">
        <f>(Q347-B347)/365.24</f>
        <v>4.0001095170298981</v>
      </c>
    </row>
    <row r="348" spans="1:22">
      <c r="A348" s="1" t="s">
        <v>763</v>
      </c>
      <c r="B348" s="5">
        <v>40906</v>
      </c>
      <c r="C348" s="20" t="s">
        <v>762</v>
      </c>
      <c r="D348" s="19">
        <v>234690000</v>
      </c>
      <c r="E348" s="1" t="s">
        <v>338</v>
      </c>
      <c r="F348" s="1" t="s">
        <v>5</v>
      </c>
      <c r="G348" s="18">
        <f>G345</f>
        <v>300000000</v>
      </c>
      <c r="L348" s="18">
        <f>L347</f>
        <v>500000</v>
      </c>
      <c r="M348" s="3">
        <v>4.2599999999999999E-2</v>
      </c>
      <c r="N348" s="17" t="s">
        <v>335</v>
      </c>
      <c r="O348" s="2">
        <v>1.4E-2</v>
      </c>
      <c r="Q348" s="5">
        <v>41911</v>
      </c>
      <c r="S348" s="4">
        <f>(Q348-B348)/365.24</f>
        <v>2.7516153761909976</v>
      </c>
    </row>
    <row r="349" spans="1:22">
      <c r="A349" s="1" t="s">
        <v>761</v>
      </c>
      <c r="B349" s="5">
        <v>41206</v>
      </c>
      <c r="C349" s="20" t="s">
        <v>760</v>
      </c>
      <c r="D349" s="19">
        <f>61208000*6</f>
        <v>367248000</v>
      </c>
      <c r="E349" s="1" t="s">
        <v>53</v>
      </c>
      <c r="F349" s="1" t="s">
        <v>5</v>
      </c>
      <c r="G349" s="18">
        <v>92500000</v>
      </c>
      <c r="L349" s="8">
        <v>1</v>
      </c>
      <c r="M349" s="3">
        <v>0.1149</v>
      </c>
      <c r="N349" s="17" t="s">
        <v>759</v>
      </c>
      <c r="O349" s="2">
        <v>0.1125</v>
      </c>
      <c r="P349" s="1">
        <v>5.7435999999999998</v>
      </c>
      <c r="Q349" s="5">
        <v>43032</v>
      </c>
      <c r="S349" s="4">
        <f>(Q349-B349)/365.24</f>
        <v>4.9994524148505093</v>
      </c>
      <c r="V349" s="1" t="s">
        <v>56</v>
      </c>
    </row>
    <row r="350" spans="1:22">
      <c r="A350" s="1" t="s">
        <v>758</v>
      </c>
      <c r="B350" s="5">
        <v>41263</v>
      </c>
      <c r="C350" s="20" t="s">
        <v>757</v>
      </c>
      <c r="D350" s="19">
        <v>701496242</v>
      </c>
      <c r="E350" s="1" t="s">
        <v>341</v>
      </c>
      <c r="F350" s="1" t="s">
        <v>5</v>
      </c>
      <c r="G350" s="18">
        <f>G386</f>
        <v>200000000</v>
      </c>
      <c r="L350" s="18">
        <v>1</v>
      </c>
      <c r="M350" s="3">
        <v>6.83E-2</v>
      </c>
      <c r="N350" s="17" t="s">
        <v>335</v>
      </c>
      <c r="O350" s="2">
        <v>0.05</v>
      </c>
      <c r="Q350" s="5">
        <v>42094</v>
      </c>
      <c r="S350" s="4">
        <f>(Q350-B350)/365.24</f>
        <v>2.2752162961340487</v>
      </c>
    </row>
    <row r="351" spans="1:22">
      <c r="A351" s="1" t="s">
        <v>756</v>
      </c>
      <c r="B351" s="5">
        <v>41540</v>
      </c>
      <c r="C351" s="20" t="s">
        <v>749</v>
      </c>
      <c r="D351" s="19">
        <v>141449000</v>
      </c>
      <c r="E351" s="1" t="s">
        <v>338</v>
      </c>
      <c r="F351" s="1" t="s">
        <v>5</v>
      </c>
      <c r="G351" s="18">
        <f>G350</f>
        <v>200000000</v>
      </c>
      <c r="L351" s="18">
        <f>L400</f>
        <v>1000000</v>
      </c>
      <c r="M351" s="3">
        <v>2.3599999999999999E-2</v>
      </c>
      <c r="N351" s="17" t="s">
        <v>335</v>
      </c>
      <c r="O351" s="2">
        <v>6.7999999999999996E-3</v>
      </c>
      <c r="Q351" s="5">
        <v>42452</v>
      </c>
      <c r="S351" s="4">
        <f>(Q351-B351)/365.24</f>
        <v>2.4969882816778006</v>
      </c>
    </row>
    <row r="352" spans="1:22">
      <c r="A352" s="1" t="s">
        <v>755</v>
      </c>
      <c r="B352" s="5">
        <v>41670</v>
      </c>
      <c r="C352" s="20" t="s">
        <v>749</v>
      </c>
      <c r="D352" s="19">
        <v>148718000</v>
      </c>
      <c r="E352" s="1" t="s">
        <v>338</v>
      </c>
      <c r="F352" s="1" t="s">
        <v>5</v>
      </c>
      <c r="G352" s="18">
        <f>G351</f>
        <v>200000000</v>
      </c>
      <c r="L352" s="18">
        <f>L351</f>
        <v>1000000</v>
      </c>
      <c r="M352" s="3">
        <v>2.58E-2</v>
      </c>
      <c r="N352" s="17" t="s">
        <v>335</v>
      </c>
      <c r="O352" s="2">
        <v>8.8000000000000005E-3</v>
      </c>
      <c r="Q352" s="5">
        <v>43496</v>
      </c>
      <c r="S352" s="4">
        <f>(Q352-B352)/365.24</f>
        <v>4.9994524148505093</v>
      </c>
    </row>
    <row r="353" spans="1:19">
      <c r="A353" s="1" t="s">
        <v>754</v>
      </c>
      <c r="B353" s="5">
        <v>41603</v>
      </c>
      <c r="C353" s="20" t="s">
        <v>749</v>
      </c>
      <c r="D353" s="19">
        <v>141449000</v>
      </c>
      <c r="E353" s="1" t="s">
        <v>338</v>
      </c>
      <c r="F353" s="1" t="s">
        <v>5</v>
      </c>
      <c r="G353" s="18">
        <f>G352</f>
        <v>200000000</v>
      </c>
      <c r="L353" s="18">
        <f>L352</f>
        <v>1000000</v>
      </c>
      <c r="M353" s="3">
        <v>2.41E-2</v>
      </c>
      <c r="N353" s="17" t="s">
        <v>335</v>
      </c>
      <c r="O353" s="2">
        <v>7.9000000000000008E-3</v>
      </c>
      <c r="Q353" s="5">
        <v>42699</v>
      </c>
      <c r="S353" s="4">
        <f>(Q353-B353)/365.24</f>
        <v>3.000766619209287</v>
      </c>
    </row>
    <row r="354" spans="1:19">
      <c r="A354" s="1" t="s">
        <v>753</v>
      </c>
      <c r="B354" s="5">
        <v>41416</v>
      </c>
      <c r="C354" s="20" t="s">
        <v>749</v>
      </c>
      <c r="D354" s="19">
        <v>141449000</v>
      </c>
      <c r="E354" s="1" t="s">
        <v>338</v>
      </c>
      <c r="F354" s="1" t="s">
        <v>5</v>
      </c>
      <c r="G354" s="18">
        <f>G353</f>
        <v>200000000</v>
      </c>
      <c r="L354" s="18">
        <f>L353</f>
        <v>1000000</v>
      </c>
      <c r="M354" s="3">
        <v>2.6499999999999999E-2</v>
      </c>
      <c r="N354" s="17" t="s">
        <v>335</v>
      </c>
      <c r="O354" s="2">
        <v>8.9999999999999993E-3</v>
      </c>
      <c r="Q354" s="5">
        <v>42877</v>
      </c>
      <c r="S354" s="4">
        <f>(Q354-B354)/365.24</f>
        <v>4.0001095170298981</v>
      </c>
    </row>
    <row r="355" spans="1:19">
      <c r="A355" s="1" t="s">
        <v>752</v>
      </c>
      <c r="B355" s="5">
        <v>41313</v>
      </c>
      <c r="C355" s="20" t="s">
        <v>749</v>
      </c>
      <c r="D355" s="19">
        <v>141449000</v>
      </c>
      <c r="E355" s="1" t="s">
        <v>338</v>
      </c>
      <c r="F355" s="1" t="s">
        <v>5</v>
      </c>
      <c r="G355" s="18">
        <f>G354</f>
        <v>200000000</v>
      </c>
      <c r="L355" s="18">
        <f>L402</f>
        <v>500000</v>
      </c>
      <c r="M355" s="3">
        <v>3.09E-2</v>
      </c>
      <c r="N355" s="17" t="s">
        <v>335</v>
      </c>
      <c r="O355" s="2">
        <v>1.12E-2</v>
      </c>
      <c r="Q355" s="5">
        <v>43139</v>
      </c>
      <c r="S355" s="4">
        <f>(Q355-B355)/365.24</f>
        <v>4.9994524148505093</v>
      </c>
    </row>
    <row r="356" spans="1:19">
      <c r="A356" s="1" t="s">
        <v>751</v>
      </c>
      <c r="B356" s="5">
        <v>41145</v>
      </c>
      <c r="C356" s="20" t="s">
        <v>749</v>
      </c>
      <c r="D356" s="19">
        <v>130298000</v>
      </c>
      <c r="E356" s="1" t="s">
        <v>338</v>
      </c>
      <c r="F356" s="1" t="s">
        <v>5</v>
      </c>
      <c r="G356" s="18">
        <f>G355</f>
        <v>200000000</v>
      </c>
      <c r="L356" s="18">
        <f>L354</f>
        <v>1000000</v>
      </c>
      <c r="M356" s="3">
        <v>3.2000000000000001E-2</v>
      </c>
      <c r="N356" s="17" t="s">
        <v>335</v>
      </c>
      <c r="O356" s="2">
        <v>1.1299999999999999E-2</v>
      </c>
      <c r="Q356" s="5">
        <v>42059</v>
      </c>
      <c r="S356" s="4">
        <f>(Q356-B356)/365.24</f>
        <v>2.5024641331727082</v>
      </c>
    </row>
    <row r="357" spans="1:19">
      <c r="A357" s="1" t="s">
        <v>750</v>
      </c>
      <c r="B357" s="5">
        <v>40954</v>
      </c>
      <c r="C357" s="20" t="s">
        <v>749</v>
      </c>
      <c r="D357" s="19">
        <v>130298000</v>
      </c>
      <c r="E357" s="1" t="s">
        <v>338</v>
      </c>
      <c r="F357" s="1" t="s">
        <v>5</v>
      </c>
      <c r="G357" s="18">
        <f>G409</f>
        <v>300000000</v>
      </c>
      <c r="L357" s="18">
        <f>L355</f>
        <v>500000</v>
      </c>
      <c r="M357" s="3">
        <v>3.9699999999999999E-2</v>
      </c>
      <c r="N357" s="17" t="s">
        <v>335</v>
      </c>
      <c r="O357" s="2">
        <v>1.2999999999999999E-2</v>
      </c>
      <c r="Q357" s="5">
        <v>41866</v>
      </c>
      <c r="S357" s="4">
        <f>(Q357-B357)/365.24</f>
        <v>2.4969882816778006</v>
      </c>
    </row>
    <row r="358" spans="1:19">
      <c r="A358" s="1" t="s">
        <v>748</v>
      </c>
      <c r="B358" s="5">
        <v>41513</v>
      </c>
      <c r="C358" s="20" t="s">
        <v>744</v>
      </c>
      <c r="D358" s="19">
        <v>118628000</v>
      </c>
      <c r="E358" s="1" t="s">
        <v>338</v>
      </c>
      <c r="F358" s="1" t="s">
        <v>5</v>
      </c>
      <c r="G358" s="18">
        <f>G607</f>
        <v>100000000</v>
      </c>
      <c r="L358" s="18">
        <f>L357</f>
        <v>500000</v>
      </c>
      <c r="M358" s="3">
        <v>2.7300000000000001E-2</v>
      </c>
      <c r="N358" s="17" t="s">
        <v>335</v>
      </c>
      <c r="O358" s="2">
        <v>0.01</v>
      </c>
      <c r="Q358" s="5">
        <v>43339</v>
      </c>
      <c r="S358" s="4">
        <f>(Q358-B358)/365.24</f>
        <v>4.9994524148505093</v>
      </c>
    </row>
    <row r="359" spans="1:19">
      <c r="A359" s="1" t="s">
        <v>747</v>
      </c>
      <c r="B359" s="5">
        <v>41453</v>
      </c>
      <c r="C359" s="20" t="s">
        <v>744</v>
      </c>
      <c r="D359" s="19">
        <v>118628000</v>
      </c>
      <c r="E359" s="1" t="s">
        <v>338</v>
      </c>
      <c r="F359" s="1" t="s">
        <v>5</v>
      </c>
      <c r="G359" s="18">
        <f>G358</f>
        <v>100000000</v>
      </c>
      <c r="L359" s="18">
        <f>L356</f>
        <v>1000000</v>
      </c>
      <c r="M359" s="3">
        <v>2.6100000000000002E-2</v>
      </c>
      <c r="N359" s="17" t="s">
        <v>335</v>
      </c>
      <c r="O359" s="2">
        <v>9.4999999999999998E-3</v>
      </c>
      <c r="Q359" s="5">
        <v>42549</v>
      </c>
      <c r="S359" s="4">
        <f>(Q359-B359)/365.24</f>
        <v>3.000766619209287</v>
      </c>
    </row>
    <row r="360" spans="1:19">
      <c r="A360" s="1" t="s">
        <v>746</v>
      </c>
      <c r="B360" s="5">
        <v>41178</v>
      </c>
      <c r="C360" s="20" t="s">
        <v>744</v>
      </c>
      <c r="D360" s="19">
        <v>119541000</v>
      </c>
      <c r="E360" s="1" t="s">
        <v>338</v>
      </c>
      <c r="F360" s="1" t="s">
        <v>5</v>
      </c>
      <c r="G360" s="18">
        <f>G359</f>
        <v>100000000</v>
      </c>
      <c r="L360" s="18">
        <f>L387</f>
        <v>100000</v>
      </c>
      <c r="M360" s="3">
        <v>3.04E-2</v>
      </c>
      <c r="N360" s="17" t="s">
        <v>335</v>
      </c>
      <c r="O360" s="2">
        <v>1.15E-2</v>
      </c>
      <c r="Q360" s="5">
        <v>42268</v>
      </c>
      <c r="S360" s="4">
        <f>(Q360-B360)/365.24</f>
        <v>2.9843390647245647</v>
      </c>
    </row>
    <row r="361" spans="1:19">
      <c r="A361" s="1" t="s">
        <v>745</v>
      </c>
      <c r="B361" s="5">
        <v>41085</v>
      </c>
      <c r="C361" s="20" t="s">
        <v>744</v>
      </c>
      <c r="D361" s="19">
        <v>119541000</v>
      </c>
      <c r="E361" s="1" t="s">
        <v>338</v>
      </c>
      <c r="F361" s="1" t="s">
        <v>5</v>
      </c>
      <c r="G361" s="18">
        <f>G360</f>
        <v>100000000</v>
      </c>
      <c r="L361" s="18">
        <f>L358</f>
        <v>500000</v>
      </c>
      <c r="M361" s="3">
        <v>3.5400000000000001E-2</v>
      </c>
      <c r="N361" s="17" t="s">
        <v>335</v>
      </c>
      <c r="O361" s="2">
        <v>1.23E-2</v>
      </c>
      <c r="Q361" s="5">
        <v>41907</v>
      </c>
      <c r="S361" s="4">
        <f>(Q361-B361)/365.24</f>
        <v>2.2505749644069653</v>
      </c>
    </row>
    <row r="362" spans="1:19">
      <c r="A362" s="1" t="s">
        <v>743</v>
      </c>
      <c r="B362" s="5">
        <v>41694</v>
      </c>
      <c r="C362" s="20" t="s">
        <v>735</v>
      </c>
      <c r="D362" s="19">
        <v>106146000</v>
      </c>
      <c r="E362" s="1" t="s">
        <v>338</v>
      </c>
      <c r="F362" s="1" t="s">
        <v>5</v>
      </c>
      <c r="G362" s="18">
        <f>G608</f>
        <v>150000000</v>
      </c>
      <c r="L362" s="18">
        <f>L361</f>
        <v>500000</v>
      </c>
      <c r="M362" s="3">
        <v>2.3400000000000001E-2</v>
      </c>
      <c r="N362" s="17" t="s">
        <v>335</v>
      </c>
      <c r="O362" s="2">
        <v>6.4999999999999997E-3</v>
      </c>
      <c r="Q362" s="5">
        <v>42879</v>
      </c>
      <c r="S362" s="4">
        <f>(Q362-B362)/365.24</f>
        <v>3.2444420107326688</v>
      </c>
    </row>
    <row r="363" spans="1:19">
      <c r="A363" s="1" t="s">
        <v>742</v>
      </c>
      <c r="B363" s="5">
        <v>41610</v>
      </c>
      <c r="C363" s="20" t="s">
        <v>735</v>
      </c>
      <c r="D363" s="19">
        <v>106084000</v>
      </c>
      <c r="E363" s="1" t="s">
        <v>338</v>
      </c>
      <c r="F363" s="1" t="s">
        <v>5</v>
      </c>
      <c r="G363" s="18">
        <f>G362</f>
        <v>150000000</v>
      </c>
      <c r="L363" s="18">
        <f>L359</f>
        <v>1000000</v>
      </c>
      <c r="M363" s="3">
        <v>2.5100000000000001E-2</v>
      </c>
      <c r="N363" s="17" t="s">
        <v>335</v>
      </c>
      <c r="O363" s="2">
        <v>8.5000000000000006E-3</v>
      </c>
      <c r="Q363" s="5">
        <v>42796</v>
      </c>
      <c r="S363" s="4">
        <f>(Q363-B363)/365.24</f>
        <v>3.2471799364801224</v>
      </c>
    </row>
    <row r="364" spans="1:19">
      <c r="A364" s="1" t="s">
        <v>741</v>
      </c>
      <c r="B364" s="5">
        <v>41536</v>
      </c>
      <c r="C364" s="20" t="s">
        <v>735</v>
      </c>
      <c r="D364" s="19">
        <v>106084000</v>
      </c>
      <c r="E364" s="1" t="s">
        <v>338</v>
      </c>
      <c r="F364" s="1" t="s">
        <v>5</v>
      </c>
      <c r="G364" s="18">
        <f>G363</f>
        <v>150000000</v>
      </c>
      <c r="L364" s="18">
        <f>L362</f>
        <v>500000</v>
      </c>
      <c r="M364" s="3">
        <v>2.7300000000000001E-2</v>
      </c>
      <c r="N364" s="17" t="s">
        <v>335</v>
      </c>
      <c r="O364" s="2">
        <v>0.01</v>
      </c>
      <c r="Q364" s="5">
        <v>43348</v>
      </c>
      <c r="S364" s="4">
        <f>(Q364-B364)/365.24</f>
        <v>4.9611214543861566</v>
      </c>
    </row>
    <row r="365" spans="1:19">
      <c r="A365" s="1" t="s">
        <v>740</v>
      </c>
      <c r="B365" s="5">
        <v>41439</v>
      </c>
      <c r="C365" s="20" t="s">
        <v>735</v>
      </c>
      <c r="D365" s="19">
        <v>106084000</v>
      </c>
      <c r="E365" s="1" t="s">
        <v>338</v>
      </c>
      <c r="F365" s="1" t="s">
        <v>5</v>
      </c>
      <c r="G365" s="18">
        <f>G364</f>
        <v>150000000</v>
      </c>
      <c r="L365" s="18">
        <f>L363</f>
        <v>1000000</v>
      </c>
      <c r="M365" s="3">
        <v>2.5999999999999999E-2</v>
      </c>
      <c r="N365" s="17" t="s">
        <v>335</v>
      </c>
      <c r="O365" s="2">
        <v>8.5000000000000006E-3</v>
      </c>
      <c r="Q365" s="5">
        <v>42627</v>
      </c>
      <c r="S365" s="4">
        <f>(Q365-B365)/365.24</f>
        <v>3.25265578797503</v>
      </c>
    </row>
    <row r="366" spans="1:19">
      <c r="A366" s="1" t="s">
        <v>739</v>
      </c>
      <c r="B366" s="5">
        <v>41374</v>
      </c>
      <c r="C366" s="20" t="s">
        <v>735</v>
      </c>
      <c r="D366" s="19">
        <v>106084000</v>
      </c>
      <c r="E366" s="1" t="s">
        <v>338</v>
      </c>
      <c r="F366" s="1" t="s">
        <v>5</v>
      </c>
      <c r="G366" s="18">
        <f>G365</f>
        <v>150000000</v>
      </c>
      <c r="L366" s="18">
        <f>L365</f>
        <v>1000000</v>
      </c>
      <c r="M366" s="3">
        <v>2.76E-2</v>
      </c>
      <c r="N366" s="17" t="s">
        <v>335</v>
      </c>
      <c r="O366" s="2">
        <v>9.1999999999999998E-3</v>
      </c>
      <c r="Q366" s="5">
        <v>42500</v>
      </c>
      <c r="S366" s="4">
        <f>(Q366-B366)/365.24</f>
        <v>3.0829043916328986</v>
      </c>
    </row>
    <row r="367" spans="1:19">
      <c r="A367" s="1" t="s">
        <v>738</v>
      </c>
      <c r="B367" s="5">
        <v>41236</v>
      </c>
      <c r="C367" s="20" t="s">
        <v>735</v>
      </c>
      <c r="D367" s="19">
        <v>103760000</v>
      </c>
      <c r="E367" s="1" t="s">
        <v>338</v>
      </c>
      <c r="F367" s="1" t="s">
        <v>5</v>
      </c>
      <c r="G367" s="18">
        <f>G366</f>
        <v>150000000</v>
      </c>
      <c r="L367" s="18">
        <f>L366</f>
        <v>1000000</v>
      </c>
      <c r="M367" s="3">
        <v>3.1099999999999999E-2</v>
      </c>
      <c r="N367" s="17" t="s">
        <v>335</v>
      </c>
      <c r="O367" s="2">
        <v>1.1599999999999999E-2</v>
      </c>
      <c r="Q367" s="5">
        <v>42423</v>
      </c>
      <c r="S367" s="4">
        <f>(Q367-B367)/365.24</f>
        <v>3.2499178622275764</v>
      </c>
    </row>
    <row r="368" spans="1:19">
      <c r="A368" s="1" t="s">
        <v>737</v>
      </c>
      <c r="B368" s="5">
        <v>41166</v>
      </c>
      <c r="C368" s="20" t="s">
        <v>735</v>
      </c>
      <c r="D368" s="19">
        <v>103760000</v>
      </c>
      <c r="E368" s="1" t="s">
        <v>338</v>
      </c>
      <c r="F368" s="1" t="s">
        <v>5</v>
      </c>
      <c r="G368" s="18">
        <f>G367</f>
        <v>150000000</v>
      </c>
      <c r="L368" s="18">
        <f>L364</f>
        <v>500000</v>
      </c>
      <c r="M368" s="3">
        <v>3.2399999999999998E-2</v>
      </c>
      <c r="N368" s="17" t="s">
        <v>335</v>
      </c>
      <c r="O368" s="2">
        <v>1.2999999999999999E-2</v>
      </c>
      <c r="Q368" s="5">
        <v>42261</v>
      </c>
      <c r="S368" s="4">
        <f>(Q368-B368)/365.24</f>
        <v>2.9980286934618334</v>
      </c>
    </row>
    <row r="369" spans="1:22">
      <c r="A369" s="1" t="s">
        <v>736</v>
      </c>
      <c r="B369" s="5">
        <v>41051</v>
      </c>
      <c r="C369" s="20" t="s">
        <v>735</v>
      </c>
      <c r="D369" s="19">
        <v>103760000</v>
      </c>
      <c r="E369" s="1" t="s">
        <v>338</v>
      </c>
      <c r="F369" s="1" t="s">
        <v>5</v>
      </c>
      <c r="G369" s="18">
        <f>G368</f>
        <v>150000000</v>
      </c>
      <c r="L369" s="18">
        <f>L368</f>
        <v>500000</v>
      </c>
      <c r="M369" s="3">
        <v>3.8100000000000002E-2</v>
      </c>
      <c r="N369" s="17" t="s">
        <v>335</v>
      </c>
      <c r="O369" s="2">
        <v>1.47E-2</v>
      </c>
      <c r="Q369" s="5">
        <v>42146</v>
      </c>
      <c r="S369" s="4">
        <f>(Q369-B369)/365.24</f>
        <v>2.9980286934618334</v>
      </c>
    </row>
    <row r="370" spans="1:22">
      <c r="A370" s="1" t="s">
        <v>734</v>
      </c>
      <c r="B370" s="5">
        <v>41173</v>
      </c>
      <c r="C370" s="20" t="s">
        <v>732</v>
      </c>
      <c r="D370" s="19">
        <v>979305580</v>
      </c>
      <c r="E370" s="1" t="s">
        <v>53</v>
      </c>
      <c r="F370" s="1" t="s">
        <v>5</v>
      </c>
      <c r="G370" s="18">
        <f>G402</f>
        <v>500000000</v>
      </c>
      <c r="L370" s="18">
        <f>L367</f>
        <v>1000000</v>
      </c>
      <c r="M370" s="3">
        <v>7.9000000000000001E-2</v>
      </c>
      <c r="N370" s="17" t="s">
        <v>335</v>
      </c>
      <c r="O370" s="2">
        <v>0.06</v>
      </c>
      <c r="Q370" s="5">
        <v>42999</v>
      </c>
      <c r="S370" s="4">
        <f>(Q370-B370)/365.24</f>
        <v>4.9994524148505093</v>
      </c>
    </row>
    <row r="371" spans="1:22">
      <c r="A371" s="1" t="s">
        <v>733</v>
      </c>
      <c r="B371" s="5">
        <v>40583</v>
      </c>
      <c r="C371" s="20" t="s">
        <v>732</v>
      </c>
      <c r="D371" s="19">
        <v>858989491</v>
      </c>
      <c r="E371" s="1" t="s">
        <v>53</v>
      </c>
      <c r="F371" s="1" t="s">
        <v>5</v>
      </c>
      <c r="G371" s="18">
        <f>G416</f>
        <v>600000000</v>
      </c>
      <c r="L371" s="18">
        <f>L369</f>
        <v>500000</v>
      </c>
      <c r="M371" s="3">
        <v>7.8299999999999995E-2</v>
      </c>
      <c r="N371" s="17" t="s">
        <v>335</v>
      </c>
      <c r="O371" s="2">
        <v>5.2499999999999998E-2</v>
      </c>
      <c r="Q371" s="5">
        <v>42044</v>
      </c>
      <c r="S371" s="4">
        <f>(Q371-B371)/365.24</f>
        <v>4.0001095170298981</v>
      </c>
    </row>
    <row r="372" spans="1:22">
      <c r="A372" s="1" t="s">
        <v>731</v>
      </c>
      <c r="B372" s="5">
        <v>41312</v>
      </c>
      <c r="C372" s="20" t="s">
        <v>729</v>
      </c>
      <c r="D372" s="19">
        <v>79870000</v>
      </c>
      <c r="E372" s="1" t="s">
        <v>338</v>
      </c>
      <c r="F372" s="1" t="s">
        <v>5</v>
      </c>
      <c r="G372" s="18">
        <f>G361</f>
        <v>100000000</v>
      </c>
      <c r="L372" s="18">
        <f>L371</f>
        <v>500000</v>
      </c>
      <c r="M372" s="3">
        <v>3.1699999999999999E-2</v>
      </c>
      <c r="N372" s="17" t="s">
        <v>335</v>
      </c>
      <c r="O372" s="2">
        <v>1.23E-2</v>
      </c>
      <c r="Q372" s="5">
        <v>42773</v>
      </c>
      <c r="S372" s="4">
        <f>(Q372-B372)/365.24</f>
        <v>4.0001095170298981</v>
      </c>
    </row>
    <row r="373" spans="1:22">
      <c r="A373" s="1" t="s">
        <v>730</v>
      </c>
      <c r="B373" s="5">
        <v>41180</v>
      </c>
      <c r="C373" s="20" t="s">
        <v>729</v>
      </c>
      <c r="D373" s="19">
        <v>74965000</v>
      </c>
      <c r="E373" s="1" t="s">
        <v>338</v>
      </c>
      <c r="F373" s="1" t="s">
        <v>5</v>
      </c>
      <c r="G373" s="18">
        <f>G372</f>
        <v>100000000</v>
      </c>
      <c r="L373" s="18">
        <f>L360</f>
        <v>100000</v>
      </c>
      <c r="M373" s="3">
        <v>3.2899999999999999E-2</v>
      </c>
      <c r="N373" s="17" t="s">
        <v>335</v>
      </c>
      <c r="O373" s="2">
        <v>1.32E-2</v>
      </c>
      <c r="Q373" s="5">
        <v>42268</v>
      </c>
      <c r="S373" s="4">
        <f>(Q373-B373)/365.24</f>
        <v>2.9788632132296571</v>
      </c>
    </row>
    <row r="374" spans="1:22">
      <c r="A374" s="1" t="s">
        <v>728</v>
      </c>
      <c r="B374" s="5">
        <v>41618</v>
      </c>
      <c r="C374" s="20" t="s">
        <v>722</v>
      </c>
      <c r="D374" s="19">
        <v>164363000</v>
      </c>
      <c r="E374" s="1" t="s">
        <v>338</v>
      </c>
      <c r="F374" s="1" t="s">
        <v>5</v>
      </c>
      <c r="G374" s="18">
        <f>G356</f>
        <v>200000000</v>
      </c>
      <c r="L374" s="18">
        <f>L370</f>
        <v>1000000</v>
      </c>
      <c r="M374" s="3">
        <v>2.5000000000000001E-2</v>
      </c>
      <c r="N374" s="17" t="s">
        <v>335</v>
      </c>
      <c r="O374" s="2">
        <v>8.5000000000000006E-3</v>
      </c>
      <c r="Q374" s="5">
        <v>42776</v>
      </c>
      <c r="S374" s="4">
        <f>(Q374-B374)/365.24</f>
        <v>3.1705180155514183</v>
      </c>
    </row>
    <row r="375" spans="1:22">
      <c r="A375" s="1" t="s">
        <v>727</v>
      </c>
      <c r="B375" s="5">
        <v>41544</v>
      </c>
      <c r="C375" s="20" t="s">
        <v>722</v>
      </c>
      <c r="D375" s="19">
        <v>164363000</v>
      </c>
      <c r="E375" s="1" t="s">
        <v>338</v>
      </c>
      <c r="F375" s="1" t="s">
        <v>5</v>
      </c>
      <c r="G375" s="18">
        <f>G374</f>
        <v>200000000</v>
      </c>
      <c r="L375" s="18">
        <f>L374</f>
        <v>1000000</v>
      </c>
      <c r="M375" s="3">
        <v>2.4400000000000002E-2</v>
      </c>
      <c r="N375" s="17" t="s">
        <v>335</v>
      </c>
      <c r="O375" s="2">
        <v>7.4999999999999997E-3</v>
      </c>
      <c r="Q375" s="5">
        <v>42587</v>
      </c>
      <c r="S375" s="4">
        <f>(Q375-B375)/365.24</f>
        <v>2.8556565545942392</v>
      </c>
    </row>
    <row r="376" spans="1:22">
      <c r="A376" s="1" t="s">
        <v>726</v>
      </c>
      <c r="B376" s="5">
        <v>41262</v>
      </c>
      <c r="C376" s="20" t="s">
        <v>722</v>
      </c>
      <c r="D376" s="19">
        <v>160625000</v>
      </c>
      <c r="E376" s="1" t="s">
        <v>338</v>
      </c>
      <c r="F376" s="1" t="s">
        <v>5</v>
      </c>
      <c r="G376" s="18">
        <v>250000000</v>
      </c>
      <c r="L376" s="18">
        <f>L373</f>
        <v>100000</v>
      </c>
      <c r="M376" s="3">
        <v>2.6800000000000001E-2</v>
      </c>
      <c r="N376" s="17" t="s">
        <v>335</v>
      </c>
      <c r="O376" s="2">
        <v>8.6999999999999994E-3</v>
      </c>
      <c r="Q376" s="5">
        <v>42188</v>
      </c>
      <c r="S376" s="4">
        <f>(Q376-B376)/365.24</f>
        <v>2.5353192421421529</v>
      </c>
    </row>
    <row r="377" spans="1:22">
      <c r="A377" s="1" t="s">
        <v>725</v>
      </c>
      <c r="B377" s="5">
        <v>41220</v>
      </c>
      <c r="C377" s="20" t="s">
        <v>722</v>
      </c>
      <c r="D377" s="19">
        <v>160625000</v>
      </c>
      <c r="E377" s="1" t="s">
        <v>338</v>
      </c>
      <c r="F377" s="1" t="s">
        <v>5</v>
      </c>
      <c r="G377" s="18">
        <f>G376</f>
        <v>250000000</v>
      </c>
      <c r="L377" s="18">
        <f>L376</f>
        <v>100000</v>
      </c>
      <c r="M377" s="3">
        <v>3.1E-2</v>
      </c>
      <c r="N377" s="17" t="s">
        <v>335</v>
      </c>
      <c r="O377" s="2">
        <v>1.2E-2</v>
      </c>
      <c r="Q377" s="5">
        <v>42376</v>
      </c>
      <c r="S377" s="4">
        <f>(Q377-B377)/365.24</f>
        <v>3.1650421640565107</v>
      </c>
    </row>
    <row r="378" spans="1:22">
      <c r="A378" s="1" t="s">
        <v>724</v>
      </c>
      <c r="B378" s="5">
        <v>41201</v>
      </c>
      <c r="C378" s="20" t="s">
        <v>722</v>
      </c>
      <c r="D378" s="19">
        <v>160625000</v>
      </c>
      <c r="E378" s="1" t="s">
        <v>338</v>
      </c>
      <c r="F378" s="1" t="s">
        <v>5</v>
      </c>
      <c r="G378" s="18">
        <f>G377</f>
        <v>250000000</v>
      </c>
      <c r="L378" s="18">
        <f>L375</f>
        <v>1000000</v>
      </c>
      <c r="M378" s="3">
        <v>2.8899999999999999E-2</v>
      </c>
      <c r="N378" s="17" t="s">
        <v>335</v>
      </c>
      <c r="O378" s="2">
        <v>9.7999999999999997E-3</v>
      </c>
      <c r="Q378" s="5">
        <v>42023</v>
      </c>
      <c r="S378" s="4">
        <f>(Q378-B378)/365.24</f>
        <v>2.2505749644069653</v>
      </c>
    </row>
    <row r="379" spans="1:22">
      <c r="A379" s="1" t="s">
        <v>723</v>
      </c>
      <c r="B379" s="5">
        <v>41136</v>
      </c>
      <c r="C379" s="20" t="s">
        <v>722</v>
      </c>
      <c r="D379" s="19">
        <v>160625000</v>
      </c>
      <c r="E379" s="1" t="s">
        <v>338</v>
      </c>
      <c r="F379" s="1" t="s">
        <v>5</v>
      </c>
      <c r="G379" s="18">
        <f>G378</f>
        <v>250000000</v>
      </c>
      <c r="L379" s="18">
        <f>L372</f>
        <v>500000</v>
      </c>
      <c r="M379" s="3">
        <v>3.1E-2</v>
      </c>
      <c r="N379" s="17" t="s">
        <v>335</v>
      </c>
      <c r="O379" s="2">
        <v>0.01</v>
      </c>
      <c r="Q379" s="5">
        <v>41866</v>
      </c>
      <c r="S379" s="4">
        <f>(Q379-B379)/365.24</f>
        <v>1.9986857956412221</v>
      </c>
    </row>
    <row r="380" spans="1:22">
      <c r="A380" s="1" t="s">
        <v>721</v>
      </c>
      <c r="B380" s="5">
        <v>40660</v>
      </c>
      <c r="C380" s="20" t="s">
        <v>720</v>
      </c>
      <c r="D380" s="19">
        <f>405712000*6</f>
        <v>2434272000</v>
      </c>
      <c r="E380" s="1" t="s">
        <v>53</v>
      </c>
      <c r="F380" s="1" t="s">
        <v>17</v>
      </c>
      <c r="G380" s="18">
        <f>G370</f>
        <v>500000000</v>
      </c>
      <c r="L380" s="8">
        <f>L377</f>
        <v>100000</v>
      </c>
      <c r="M380" s="3">
        <v>9.5000000000000001E-2</v>
      </c>
      <c r="O380" s="2"/>
      <c r="Q380" s="5">
        <v>42487</v>
      </c>
      <c r="S380" s="4">
        <f>(Q380-B380)/365.24</f>
        <v>5.0021903405979629</v>
      </c>
      <c r="V380" s="1" t="s">
        <v>56</v>
      </c>
    </row>
    <row r="381" spans="1:22">
      <c r="A381" s="1" t="s">
        <v>719</v>
      </c>
      <c r="B381" s="5">
        <v>41618</v>
      </c>
      <c r="C381" s="20" t="s">
        <v>717</v>
      </c>
      <c r="D381" s="19">
        <v>4131704000</v>
      </c>
      <c r="E381" s="1" t="s">
        <v>6</v>
      </c>
      <c r="F381" s="1" t="s">
        <v>17</v>
      </c>
      <c r="G381" s="18">
        <f>G396</f>
        <v>1000000000</v>
      </c>
      <c r="L381" s="18">
        <f>L378</f>
        <v>1000000</v>
      </c>
      <c r="M381" s="3">
        <v>4.3999999999999997E-2</v>
      </c>
      <c r="O381" s="2"/>
      <c r="Q381" s="5">
        <v>44175</v>
      </c>
      <c r="S381" s="4">
        <f>(Q381-B381)/365.24</f>
        <v>7.0008761362391851</v>
      </c>
    </row>
    <row r="382" spans="1:22">
      <c r="A382" s="1" t="s">
        <v>718</v>
      </c>
      <c r="B382" s="5">
        <v>41599</v>
      </c>
      <c r="C382" s="20" t="s">
        <v>717</v>
      </c>
      <c r="D382" s="19">
        <v>4131704000</v>
      </c>
      <c r="E382" s="1" t="s">
        <v>6</v>
      </c>
      <c r="F382" s="1" t="s">
        <v>5</v>
      </c>
      <c r="G382" s="18">
        <v>1200000000</v>
      </c>
      <c r="L382" s="18">
        <f>L381</f>
        <v>1000000</v>
      </c>
      <c r="M382" s="3">
        <v>2.9399999999999999E-2</v>
      </c>
      <c r="N382" s="17" t="s">
        <v>335</v>
      </c>
      <c r="O382" s="2">
        <v>1.2999999999999999E-2</v>
      </c>
      <c r="Q382" s="5">
        <v>42695</v>
      </c>
      <c r="S382" s="4">
        <f>(Q382-B382)/365.24</f>
        <v>3.000766619209287</v>
      </c>
    </row>
    <row r="383" spans="1:22">
      <c r="A383" s="1" t="s">
        <v>716</v>
      </c>
      <c r="B383" s="5">
        <v>41599</v>
      </c>
      <c r="C383" s="20" t="s">
        <v>715</v>
      </c>
      <c r="D383" s="19">
        <v>507935000</v>
      </c>
      <c r="E383" s="1" t="s">
        <v>338</v>
      </c>
      <c r="F383" s="1" t="s">
        <v>5</v>
      </c>
      <c r="G383" s="18">
        <v>750000000</v>
      </c>
      <c r="L383" s="18">
        <f>L382</f>
        <v>1000000</v>
      </c>
      <c r="M383" s="3">
        <v>2.5700000000000001E-2</v>
      </c>
      <c r="N383" s="17" t="s">
        <v>335</v>
      </c>
      <c r="O383" s="2">
        <v>9.2999999999999992E-3</v>
      </c>
      <c r="Q383" s="5">
        <v>43425</v>
      </c>
      <c r="S383" s="4">
        <f>(Q383-B383)/365.24</f>
        <v>4.9994524148505093</v>
      </c>
    </row>
    <row r="384" spans="1:22">
      <c r="A384" s="1" t="s">
        <v>714</v>
      </c>
      <c r="B384" s="5">
        <v>41310</v>
      </c>
      <c r="C384" s="20" t="s">
        <v>713</v>
      </c>
      <c r="D384" s="19">
        <v>337147000</v>
      </c>
      <c r="E384" s="1" t="s">
        <v>6</v>
      </c>
      <c r="F384" s="1" t="s">
        <v>5</v>
      </c>
      <c r="G384" s="18">
        <v>356000000</v>
      </c>
      <c r="L384" s="18">
        <f>L383</f>
        <v>1000000</v>
      </c>
      <c r="M384" s="3">
        <v>3.5400000000000001E-2</v>
      </c>
      <c r="N384" s="17" t="s">
        <v>335</v>
      </c>
      <c r="O384" s="2">
        <v>1.7000000000000001E-2</v>
      </c>
      <c r="Q384" s="5">
        <v>43136</v>
      </c>
      <c r="S384" s="4">
        <f>(Q384-B384)/365.24</f>
        <v>4.9994524148505093</v>
      </c>
      <c r="V384" s="1" t="s">
        <v>28</v>
      </c>
    </row>
    <row r="385" spans="1:22">
      <c r="A385" s="1" t="s">
        <v>712</v>
      </c>
      <c r="B385" s="5">
        <v>41018</v>
      </c>
      <c r="C385" s="20" t="s">
        <v>711</v>
      </c>
      <c r="D385" s="19">
        <v>903478000</v>
      </c>
      <c r="E385" s="1" t="s">
        <v>341</v>
      </c>
      <c r="F385" s="1" t="s">
        <v>5</v>
      </c>
      <c r="G385" s="18">
        <f>G420</f>
        <v>150000000</v>
      </c>
      <c r="L385" s="18">
        <f>L418</f>
        <v>500000</v>
      </c>
      <c r="M385" s="3">
        <v>8.3199999999999996E-2</v>
      </c>
      <c r="N385" s="17" t="s">
        <v>335</v>
      </c>
      <c r="O385" s="2">
        <v>0.06</v>
      </c>
      <c r="Q385" s="5">
        <v>44670</v>
      </c>
      <c r="S385" s="4">
        <f>(Q385-B385)/365.24</f>
        <v>9.9989048297010186</v>
      </c>
      <c r="V385" s="1" t="s">
        <v>56</v>
      </c>
    </row>
    <row r="386" spans="1:22">
      <c r="A386" s="1" t="s">
        <v>710</v>
      </c>
      <c r="B386" s="5">
        <v>41369</v>
      </c>
      <c r="C386" s="20" t="s">
        <v>709</v>
      </c>
      <c r="D386" s="19"/>
      <c r="E386" s="1" t="s">
        <v>341</v>
      </c>
      <c r="F386" s="1" t="s">
        <v>5</v>
      </c>
      <c r="G386" s="18">
        <f>G575</f>
        <v>200000000</v>
      </c>
      <c r="L386" s="18">
        <v>1</v>
      </c>
      <c r="M386" s="3">
        <v>6.88E-2</v>
      </c>
      <c r="N386" s="17" t="s">
        <v>335</v>
      </c>
      <c r="O386" s="2">
        <v>0.05</v>
      </c>
      <c r="Q386" s="5">
        <v>43195</v>
      </c>
      <c r="S386" s="4">
        <f>(Q386-B386)/365.24</f>
        <v>4.9994524148505093</v>
      </c>
    </row>
    <row r="387" spans="1:22">
      <c r="A387" s="1" t="s">
        <v>708</v>
      </c>
      <c r="B387" s="5">
        <v>41604</v>
      </c>
      <c r="C387" s="20" t="s">
        <v>573</v>
      </c>
      <c r="D387" s="19">
        <v>1841000000</v>
      </c>
      <c r="E387" s="1" t="s">
        <v>338</v>
      </c>
      <c r="F387" s="1" t="s">
        <v>5</v>
      </c>
      <c r="G387" s="18">
        <f>G418</f>
        <v>400000000</v>
      </c>
      <c r="L387" s="18">
        <v>100000</v>
      </c>
      <c r="M387" s="3">
        <v>3.4500000000000003E-2</v>
      </c>
      <c r="N387" s="17" t="s">
        <v>335</v>
      </c>
      <c r="O387" s="2">
        <v>1.7999999999999999E-2</v>
      </c>
      <c r="Q387" s="5">
        <v>45257</v>
      </c>
      <c r="S387" s="4">
        <f>(Q387-B387)/365.24</f>
        <v>10.001642755448472</v>
      </c>
      <c r="V387" s="1" t="s">
        <v>56</v>
      </c>
    </row>
    <row r="388" spans="1:22">
      <c r="A388" s="1" t="s">
        <v>707</v>
      </c>
      <c r="B388" s="5">
        <v>41422</v>
      </c>
      <c r="C388" s="20" t="s">
        <v>573</v>
      </c>
      <c r="D388" s="19">
        <v>1841000000</v>
      </c>
      <c r="E388" s="1" t="s">
        <v>338</v>
      </c>
      <c r="F388" s="1" t="s">
        <v>17</v>
      </c>
      <c r="G388" s="18">
        <f>G618</f>
        <v>1000000000</v>
      </c>
      <c r="L388" s="18">
        <f>L420</f>
        <v>1000000</v>
      </c>
      <c r="M388" s="3">
        <v>3.2500000000000001E-2</v>
      </c>
      <c r="O388" s="2"/>
      <c r="Q388" s="5">
        <v>43724</v>
      </c>
      <c r="S388" s="4">
        <f>(Q388-B388)/365.24</f>
        <v>6.302705070638484</v>
      </c>
    </row>
    <row r="389" spans="1:22">
      <c r="A389" s="1" t="s">
        <v>706</v>
      </c>
      <c r="B389" s="5">
        <v>41338</v>
      </c>
      <c r="C389" s="20" t="s">
        <v>573</v>
      </c>
      <c r="D389" s="19">
        <v>1841000000</v>
      </c>
      <c r="E389" s="1" t="s">
        <v>338</v>
      </c>
      <c r="F389" s="1" t="s">
        <v>5</v>
      </c>
      <c r="G389" s="18">
        <f>G388</f>
        <v>1000000000</v>
      </c>
      <c r="L389" s="18">
        <f>L388</f>
        <v>1000000</v>
      </c>
      <c r="M389" s="3">
        <v>2.7699999999999999E-2</v>
      </c>
      <c r="N389" s="17" t="s">
        <v>335</v>
      </c>
      <c r="O389" s="2">
        <v>9.1999999999999998E-3</v>
      </c>
      <c r="Q389" s="5">
        <v>43164</v>
      </c>
      <c r="S389" s="4">
        <f>(Q389-B389)/365.24</f>
        <v>4.9994524148505093</v>
      </c>
    </row>
    <row r="390" spans="1:22">
      <c r="A390" s="1" t="s">
        <v>705</v>
      </c>
      <c r="B390" s="5">
        <v>41243</v>
      </c>
      <c r="C390" s="20" t="s">
        <v>573</v>
      </c>
      <c r="D390" s="19">
        <v>1674000000</v>
      </c>
      <c r="E390" s="1" t="s">
        <v>338</v>
      </c>
      <c r="F390" s="1" t="s">
        <v>5</v>
      </c>
      <c r="G390" s="18">
        <f>G389</f>
        <v>1000000000</v>
      </c>
      <c r="L390" s="18">
        <f>L389</f>
        <v>1000000</v>
      </c>
      <c r="M390" s="3">
        <v>3.1300000000000001E-2</v>
      </c>
      <c r="N390" s="17" t="s">
        <v>335</v>
      </c>
      <c r="O390" s="2">
        <v>1.2200000000000001E-2</v>
      </c>
      <c r="Q390" s="5">
        <v>43069</v>
      </c>
      <c r="S390" s="4">
        <f>(Q390-B390)/365.24</f>
        <v>4.9994524148505093</v>
      </c>
    </row>
    <row r="391" spans="1:22">
      <c r="A391" s="1" t="s">
        <v>704</v>
      </c>
      <c r="B391" s="5">
        <v>40865</v>
      </c>
      <c r="C391" s="20" t="s">
        <v>573</v>
      </c>
      <c r="D391" s="19">
        <v>1515000000</v>
      </c>
      <c r="E391" s="1" t="s">
        <v>338</v>
      </c>
      <c r="F391" s="1" t="s">
        <v>5</v>
      </c>
      <c r="G391" s="18">
        <f>G390</f>
        <v>1000000000</v>
      </c>
      <c r="L391" s="18">
        <f>L385</f>
        <v>500000</v>
      </c>
      <c r="M391" s="3">
        <v>4.4499999999999998E-2</v>
      </c>
      <c r="N391" s="17" t="s">
        <v>335</v>
      </c>
      <c r="O391" s="2">
        <v>1.24E-2</v>
      </c>
      <c r="Q391" s="5">
        <v>42053</v>
      </c>
      <c r="S391" s="4">
        <f>(Q391-B391)/365.24</f>
        <v>3.25265578797503</v>
      </c>
    </row>
    <row r="392" spans="1:22">
      <c r="A392" s="1" t="s">
        <v>703</v>
      </c>
      <c r="B392" s="5">
        <v>40833</v>
      </c>
      <c r="C392" s="20" t="s">
        <v>573</v>
      </c>
      <c r="D392" s="19">
        <v>1515000000</v>
      </c>
      <c r="E392" s="1" t="s">
        <v>338</v>
      </c>
      <c r="F392" s="1" t="s">
        <v>5</v>
      </c>
      <c r="G392" s="18">
        <f>G391</f>
        <v>1000000000</v>
      </c>
      <c r="L392" s="18">
        <f>L391</f>
        <v>500000</v>
      </c>
      <c r="M392" s="3">
        <v>4.3299999999999998E-2</v>
      </c>
      <c r="N392" s="17" t="s">
        <v>335</v>
      </c>
      <c r="O392" s="2">
        <v>1.21E-2</v>
      </c>
      <c r="Q392" s="5">
        <v>41929</v>
      </c>
      <c r="S392" s="4">
        <f>(Q392-B392)/365.24</f>
        <v>3.000766619209287</v>
      </c>
    </row>
    <row r="393" spans="1:22">
      <c r="A393" s="1" t="s">
        <v>702</v>
      </c>
      <c r="B393" s="5">
        <v>40672</v>
      </c>
      <c r="C393" s="20" t="s">
        <v>573</v>
      </c>
      <c r="D393" s="19">
        <v>1515000000</v>
      </c>
      <c r="E393" s="1" t="s">
        <v>338</v>
      </c>
      <c r="F393" s="1" t="s">
        <v>5</v>
      </c>
      <c r="G393" s="18">
        <f>G392</f>
        <v>1000000000</v>
      </c>
      <c r="L393" s="18">
        <f>L392</f>
        <v>500000</v>
      </c>
      <c r="M393" s="3">
        <v>3.6700000000000003E-2</v>
      </c>
      <c r="N393" s="17" t="s">
        <v>335</v>
      </c>
      <c r="O393" s="2">
        <v>1.03E-2</v>
      </c>
      <c r="Q393" s="5">
        <v>42499</v>
      </c>
      <c r="S393" s="4">
        <f>(Q393-B393)/365.24</f>
        <v>5.0021903405979629</v>
      </c>
    </row>
    <row r="394" spans="1:22">
      <c r="A394" s="1" t="s">
        <v>701</v>
      </c>
      <c r="B394" s="5">
        <v>40632</v>
      </c>
      <c r="C394" s="20" t="s">
        <v>573</v>
      </c>
      <c r="D394" s="19">
        <v>1515000000</v>
      </c>
      <c r="E394" s="1" t="s">
        <v>338</v>
      </c>
      <c r="F394" s="1" t="s">
        <v>17</v>
      </c>
      <c r="G394" s="18">
        <f>G393</f>
        <v>1000000000</v>
      </c>
      <c r="L394" s="18">
        <f>L393</f>
        <v>500000</v>
      </c>
      <c r="M394" s="3">
        <v>5.2499999999999998E-2</v>
      </c>
      <c r="O394" s="2"/>
      <c r="Q394" s="5">
        <v>42459</v>
      </c>
      <c r="S394" s="4">
        <f>(Q394-B394)/365.24</f>
        <v>5.0021903405979629</v>
      </c>
    </row>
    <row r="395" spans="1:22">
      <c r="A395" s="1" t="s">
        <v>700</v>
      </c>
      <c r="B395" s="5">
        <v>40599</v>
      </c>
      <c r="C395" s="20" t="s">
        <v>573</v>
      </c>
      <c r="D395" s="19">
        <v>1515000000</v>
      </c>
      <c r="E395" s="1" t="s">
        <v>338</v>
      </c>
      <c r="F395" s="1" t="s">
        <v>5</v>
      </c>
      <c r="G395" s="18">
        <f>G394</f>
        <v>1000000000</v>
      </c>
      <c r="L395" s="18">
        <f>L394</f>
        <v>500000</v>
      </c>
      <c r="M395" s="3">
        <v>3.4799999999999998E-2</v>
      </c>
      <c r="N395" s="17" t="s">
        <v>335</v>
      </c>
      <c r="O395" s="2">
        <v>8.3999999999999995E-3</v>
      </c>
      <c r="Q395" s="5">
        <v>41876</v>
      </c>
      <c r="S395" s="4">
        <f>(Q395-B395)/365.24</f>
        <v>3.4963311794984118</v>
      </c>
    </row>
    <row r="396" spans="1:22">
      <c r="A396" s="1" t="s">
        <v>699</v>
      </c>
      <c r="B396" s="5">
        <v>40585</v>
      </c>
      <c r="C396" s="20" t="s">
        <v>573</v>
      </c>
      <c r="D396" s="19">
        <v>1515000000</v>
      </c>
      <c r="E396" s="1" t="s">
        <v>338</v>
      </c>
      <c r="F396" s="1" t="s">
        <v>17</v>
      </c>
      <c r="G396" s="18">
        <f>G395</f>
        <v>1000000000</v>
      </c>
      <c r="L396" s="18">
        <f>L395</f>
        <v>500000</v>
      </c>
      <c r="M396" s="3">
        <v>5.1499999999999997E-2</v>
      </c>
      <c r="O396" s="2"/>
      <c r="Q396" s="5">
        <v>42593</v>
      </c>
      <c r="S396" s="4">
        <f>(Q396-B396)/365.24</f>
        <v>5.4977549008870881</v>
      </c>
    </row>
    <row r="397" spans="1:22">
      <c r="A397" s="1" t="s">
        <v>698</v>
      </c>
      <c r="B397" s="5">
        <v>41445</v>
      </c>
      <c r="C397" s="20" t="s">
        <v>697</v>
      </c>
      <c r="D397" s="19">
        <f>102893000*6</f>
        <v>617358000</v>
      </c>
      <c r="E397" s="1" t="s">
        <v>53</v>
      </c>
      <c r="F397" s="1" t="s">
        <v>17</v>
      </c>
      <c r="G397" s="18">
        <f>G523</f>
        <v>350000000</v>
      </c>
      <c r="L397" s="18">
        <v>1</v>
      </c>
      <c r="M397" s="3">
        <v>0.12</v>
      </c>
      <c r="O397" s="2"/>
      <c r="Q397" s="5">
        <v>42906</v>
      </c>
      <c r="S397" s="4">
        <f>(Q397-B397)/365.24</f>
        <v>4.0001095170298981</v>
      </c>
      <c r="V397" s="1" t="s">
        <v>56</v>
      </c>
    </row>
    <row r="398" spans="1:22">
      <c r="A398" s="1" t="s">
        <v>696</v>
      </c>
      <c r="B398" s="5">
        <v>41549</v>
      </c>
      <c r="C398" s="20" t="s">
        <v>154</v>
      </c>
      <c r="D398" s="19">
        <v>422889000</v>
      </c>
      <c r="E398" s="1" t="s">
        <v>338</v>
      </c>
      <c r="F398" s="1" t="s">
        <v>5</v>
      </c>
      <c r="G398" s="18">
        <f>G419</f>
        <v>500000000</v>
      </c>
      <c r="L398" s="18">
        <f>L390</f>
        <v>1000000</v>
      </c>
      <c r="M398" s="3">
        <v>2.87E-2</v>
      </c>
      <c r="N398" s="17" t="s">
        <v>335</v>
      </c>
      <c r="O398" s="2">
        <v>1.2E-2</v>
      </c>
      <c r="Q398" s="5">
        <v>42646</v>
      </c>
      <c r="S398" s="4">
        <f>(Q398-B398)/365.24</f>
        <v>3.0035045449567406</v>
      </c>
    </row>
    <row r="399" spans="1:22">
      <c r="A399" s="1" t="s">
        <v>695</v>
      </c>
      <c r="B399" s="5">
        <v>41283</v>
      </c>
      <c r="C399" s="20" t="s">
        <v>154</v>
      </c>
      <c r="D399" s="19">
        <v>422889000</v>
      </c>
      <c r="E399" s="1" t="s">
        <v>338</v>
      </c>
      <c r="F399" s="1" t="s">
        <v>5</v>
      </c>
      <c r="G399" s="18">
        <f>G398</f>
        <v>500000000</v>
      </c>
      <c r="L399" s="18">
        <f>L398</f>
        <v>1000000</v>
      </c>
      <c r="M399" s="3">
        <v>3.7100000000000001E-2</v>
      </c>
      <c r="N399" s="17" t="s">
        <v>335</v>
      </c>
      <c r="O399" s="2">
        <v>1.8499999999999999E-2</v>
      </c>
      <c r="Q399" s="5">
        <v>42744</v>
      </c>
      <c r="S399" s="4">
        <f>(Q399-B399)/365.24</f>
        <v>4.0001095170298981</v>
      </c>
    </row>
    <row r="400" spans="1:22">
      <c r="A400" s="1" t="s">
        <v>694</v>
      </c>
      <c r="B400" s="5">
        <v>41214</v>
      </c>
      <c r="C400" s="20" t="s">
        <v>154</v>
      </c>
      <c r="D400" s="19">
        <v>355916000</v>
      </c>
      <c r="E400" s="1" t="s">
        <v>338</v>
      </c>
      <c r="F400" s="1" t="s">
        <v>5</v>
      </c>
      <c r="G400" s="18">
        <f>G399</f>
        <v>500000000</v>
      </c>
      <c r="L400" s="18">
        <f>L399</f>
        <v>1000000</v>
      </c>
      <c r="M400" s="3">
        <v>3.6999999999999998E-2</v>
      </c>
      <c r="N400" s="17" t="s">
        <v>335</v>
      </c>
      <c r="O400" s="2">
        <v>1.8499999999999999E-2</v>
      </c>
      <c r="Q400" s="5">
        <v>42310</v>
      </c>
      <c r="S400" s="4">
        <f>(Q400-B400)/365.24</f>
        <v>3.000766619209287</v>
      </c>
    </row>
    <row r="401" spans="1:19">
      <c r="A401" s="1" t="s">
        <v>693</v>
      </c>
      <c r="B401" s="5">
        <v>41075</v>
      </c>
      <c r="C401" s="20" t="s">
        <v>154</v>
      </c>
      <c r="D401" s="19">
        <v>355916000</v>
      </c>
      <c r="E401" s="1" t="s">
        <v>338</v>
      </c>
      <c r="F401" s="1" t="s">
        <v>5</v>
      </c>
      <c r="G401" s="18">
        <f>G400</f>
        <v>500000000</v>
      </c>
      <c r="L401" s="18">
        <f>L396</f>
        <v>500000</v>
      </c>
      <c r="M401" s="3">
        <v>4.48E-2</v>
      </c>
      <c r="N401" s="17" t="s">
        <v>335</v>
      </c>
      <c r="O401" s="2">
        <v>2.1499999999999998E-2</v>
      </c>
      <c r="Q401" s="5">
        <v>42170</v>
      </c>
      <c r="S401" s="4">
        <f>(Q401-B401)/365.24</f>
        <v>2.9980286934618334</v>
      </c>
    </row>
    <row r="402" spans="1:19">
      <c r="A402" s="1" t="s">
        <v>692</v>
      </c>
      <c r="B402" s="5">
        <v>40851</v>
      </c>
      <c r="C402" s="20" t="s">
        <v>154</v>
      </c>
      <c r="D402" s="19">
        <v>237869000</v>
      </c>
      <c r="E402" s="1" t="s">
        <v>338</v>
      </c>
      <c r="F402" s="1" t="s">
        <v>5</v>
      </c>
      <c r="G402" s="18">
        <f>G401</f>
        <v>500000000</v>
      </c>
      <c r="L402" s="18">
        <f>L401</f>
        <v>500000</v>
      </c>
      <c r="M402" s="3">
        <v>5.0700000000000002E-2</v>
      </c>
      <c r="N402" s="17" t="s">
        <v>335</v>
      </c>
      <c r="O402" s="2">
        <v>1.95E-2</v>
      </c>
      <c r="Q402" s="5">
        <v>41947</v>
      </c>
      <c r="S402" s="4">
        <f>(Q402-B402)/365.24</f>
        <v>3.000766619209287</v>
      </c>
    </row>
    <row r="403" spans="1:19">
      <c r="A403" s="1" t="s">
        <v>691</v>
      </c>
      <c r="B403" s="5">
        <v>40637</v>
      </c>
      <c r="C403" s="20" t="s">
        <v>154</v>
      </c>
      <c r="D403" s="19">
        <v>237869000</v>
      </c>
      <c r="E403" s="1" t="s">
        <v>338</v>
      </c>
      <c r="F403" s="1" t="s">
        <v>5</v>
      </c>
      <c r="G403" s="18">
        <f>G402</f>
        <v>500000000</v>
      </c>
      <c r="L403" s="18">
        <f>L402</f>
        <v>500000</v>
      </c>
      <c r="M403" s="3">
        <v>4.07E-2</v>
      </c>
      <c r="N403" s="17" t="s">
        <v>335</v>
      </c>
      <c r="O403" s="2">
        <v>1.38E-2</v>
      </c>
      <c r="Q403" s="5">
        <v>41733</v>
      </c>
      <c r="S403" s="4">
        <f>(Q403-B403)/365.24</f>
        <v>3.000766619209287</v>
      </c>
    </row>
    <row r="404" spans="1:19">
      <c r="A404" s="1" t="s">
        <v>690</v>
      </c>
      <c r="B404" s="5">
        <v>41523</v>
      </c>
      <c r="C404" s="20" t="s">
        <v>686</v>
      </c>
      <c r="D404" s="19">
        <v>154037000</v>
      </c>
      <c r="E404" s="1" t="s">
        <v>338</v>
      </c>
      <c r="F404" s="1" t="s">
        <v>5</v>
      </c>
      <c r="G404" s="18">
        <f>G605</f>
        <v>300000000</v>
      </c>
      <c r="L404" s="18">
        <f>L613</f>
        <v>100000</v>
      </c>
      <c r="M404" s="3">
        <v>2.5100000000000001E-2</v>
      </c>
      <c r="N404" s="17" t="s">
        <v>335</v>
      </c>
      <c r="O404" s="2">
        <v>8.0000000000000002E-3</v>
      </c>
      <c r="Q404" s="5">
        <v>42590</v>
      </c>
      <c r="S404" s="4">
        <f>(Q404-B404)/365.24</f>
        <v>2.9213667725331289</v>
      </c>
    </row>
    <row r="405" spans="1:19">
      <c r="A405" s="1" t="s">
        <v>689</v>
      </c>
      <c r="B405" s="5">
        <v>41311</v>
      </c>
      <c r="C405" s="20" t="s">
        <v>686</v>
      </c>
      <c r="D405" s="19">
        <v>154037000</v>
      </c>
      <c r="E405" s="1" t="s">
        <v>338</v>
      </c>
      <c r="F405" s="1" t="s">
        <v>5</v>
      </c>
      <c r="G405" s="18">
        <f>G404</f>
        <v>300000000</v>
      </c>
      <c r="L405" s="18">
        <f>L404</f>
        <v>100000</v>
      </c>
      <c r="M405" s="3">
        <v>2.9399999999999999E-2</v>
      </c>
      <c r="N405" s="17" t="s">
        <v>335</v>
      </c>
      <c r="O405" s="2">
        <v>1.04E-2</v>
      </c>
      <c r="Q405" s="5">
        <v>42772</v>
      </c>
      <c r="S405" s="4">
        <f>(Q405-B405)/365.24</f>
        <v>4.0001095170298981</v>
      </c>
    </row>
    <row r="406" spans="1:19">
      <c r="A406" s="1" t="s">
        <v>688</v>
      </c>
      <c r="B406" s="5">
        <v>41218</v>
      </c>
      <c r="C406" s="20" t="s">
        <v>686</v>
      </c>
      <c r="D406" s="19">
        <v>162751000</v>
      </c>
      <c r="E406" s="1" t="s">
        <v>338</v>
      </c>
      <c r="F406" s="1" t="s">
        <v>5</v>
      </c>
      <c r="G406" s="18">
        <f>G405</f>
        <v>300000000</v>
      </c>
      <c r="L406" s="18">
        <f>L621</f>
        <v>500000</v>
      </c>
      <c r="M406" s="3">
        <v>3.0599999999999999E-2</v>
      </c>
      <c r="N406" s="17" t="s">
        <v>335</v>
      </c>
      <c r="O406" s="2">
        <v>1.2E-2</v>
      </c>
      <c r="Q406" s="5">
        <v>42405</v>
      </c>
      <c r="S406" s="4">
        <f>(Q406-B406)/365.24</f>
        <v>3.2499178622275764</v>
      </c>
    </row>
    <row r="407" spans="1:19">
      <c r="A407" s="1" t="s">
        <v>687</v>
      </c>
      <c r="B407" s="5">
        <v>41166</v>
      </c>
      <c r="C407" s="20" t="s">
        <v>686</v>
      </c>
      <c r="D407" s="19">
        <v>162751000</v>
      </c>
      <c r="E407" s="1" t="s">
        <v>338</v>
      </c>
      <c r="F407" s="1" t="s">
        <v>5</v>
      </c>
      <c r="G407" s="18">
        <f>G406</f>
        <v>300000000</v>
      </c>
      <c r="L407" s="18">
        <f>L406</f>
        <v>500000</v>
      </c>
      <c r="M407" s="3">
        <v>3.1899999999999998E-2</v>
      </c>
      <c r="N407" s="17" t="s">
        <v>335</v>
      </c>
      <c r="O407" s="2">
        <v>1.2500000000000001E-2</v>
      </c>
      <c r="Q407" s="5">
        <v>42230</v>
      </c>
      <c r="S407" s="4">
        <f>(Q407-B407)/365.24</f>
        <v>2.9131529952907678</v>
      </c>
    </row>
    <row r="408" spans="1:19">
      <c r="A408" s="1" t="s">
        <v>685</v>
      </c>
      <c r="B408" s="5">
        <v>40842</v>
      </c>
      <c r="C408" s="20" t="s">
        <v>684</v>
      </c>
      <c r="D408" s="19">
        <v>4820000000</v>
      </c>
      <c r="E408" s="1" t="s">
        <v>338</v>
      </c>
      <c r="F408" s="1" t="s">
        <v>17</v>
      </c>
      <c r="G408" s="18">
        <f>G588</f>
        <v>2000000000</v>
      </c>
      <c r="L408" s="18">
        <f>L407</f>
        <v>500000</v>
      </c>
      <c r="M408" s="3">
        <v>4.9799999999999997E-2</v>
      </c>
      <c r="O408" s="2"/>
      <c r="Q408" s="5">
        <v>42669</v>
      </c>
      <c r="S408" s="4">
        <f>(Q408-B408)/365.24</f>
        <v>5.0021903405979629</v>
      </c>
    </row>
    <row r="409" spans="1:19">
      <c r="A409" s="1" t="s">
        <v>683</v>
      </c>
      <c r="B409" s="5">
        <v>41533</v>
      </c>
      <c r="C409" s="20" t="s">
        <v>682</v>
      </c>
      <c r="D409" s="19">
        <v>418818000</v>
      </c>
      <c r="E409" s="1" t="s">
        <v>25</v>
      </c>
      <c r="F409" s="1" t="s">
        <v>5</v>
      </c>
      <c r="G409" s="18">
        <f>G406</f>
        <v>300000000</v>
      </c>
      <c r="L409" s="18">
        <f>L615</f>
        <v>1000000</v>
      </c>
      <c r="M409" s="3">
        <v>2.8400000000000002E-2</v>
      </c>
      <c r="N409" s="17" t="s">
        <v>335</v>
      </c>
      <c r="O409" s="2">
        <v>1.0999999999999999E-2</v>
      </c>
      <c r="Q409" s="5">
        <v>42629</v>
      </c>
      <c r="S409" s="4">
        <f>(Q409-B409)/365.24</f>
        <v>3.000766619209287</v>
      </c>
    </row>
    <row r="410" spans="1:19">
      <c r="A410" s="1" t="s">
        <v>681</v>
      </c>
      <c r="B410" s="5">
        <v>41523</v>
      </c>
      <c r="C410" s="20" t="s">
        <v>673</v>
      </c>
      <c r="D410" s="19">
        <v>661457000</v>
      </c>
      <c r="E410" s="1" t="s">
        <v>338</v>
      </c>
      <c r="F410" s="1" t="s">
        <v>17</v>
      </c>
      <c r="G410" s="18">
        <f>G573</f>
        <v>600000000</v>
      </c>
      <c r="L410" s="18">
        <f>L408</f>
        <v>500000</v>
      </c>
      <c r="M410" s="3">
        <v>3.4200000000000001E-2</v>
      </c>
      <c r="O410" s="2"/>
      <c r="Q410" s="5">
        <v>43349</v>
      </c>
      <c r="S410" s="4">
        <f>(Q410-B410)/365.24</f>
        <v>4.9994524148505093</v>
      </c>
    </row>
    <row r="411" spans="1:19">
      <c r="A411" s="1" t="s">
        <v>680</v>
      </c>
      <c r="B411" s="5">
        <v>41404</v>
      </c>
      <c r="C411" s="20" t="s">
        <v>673</v>
      </c>
      <c r="D411" s="19">
        <v>661457000</v>
      </c>
      <c r="E411" s="1" t="s">
        <v>338</v>
      </c>
      <c r="F411" s="1" t="s">
        <v>5</v>
      </c>
      <c r="G411" s="18">
        <f>G410</f>
        <v>600000000</v>
      </c>
      <c r="L411" s="18">
        <f>L409</f>
        <v>1000000</v>
      </c>
      <c r="M411" s="3">
        <v>2.6200000000000001E-2</v>
      </c>
      <c r="N411" s="17" t="s">
        <v>335</v>
      </c>
      <c r="O411" s="2">
        <v>8.3000000000000001E-3</v>
      </c>
      <c r="Q411" s="5">
        <v>43231</v>
      </c>
      <c r="S411" s="4">
        <f>(Q411-B411)/365.24</f>
        <v>5.0021903405979629</v>
      </c>
    </row>
    <row r="412" spans="1:19">
      <c r="A412" s="1" t="s">
        <v>679</v>
      </c>
      <c r="B412" s="5">
        <v>41318</v>
      </c>
      <c r="C412" s="20" t="s">
        <v>673</v>
      </c>
      <c r="D412" s="19">
        <v>661457000</v>
      </c>
      <c r="E412" s="1" t="s">
        <v>338</v>
      </c>
      <c r="F412" s="1" t="s">
        <v>17</v>
      </c>
      <c r="G412" s="18">
        <f>G411</f>
        <v>600000000</v>
      </c>
      <c r="L412" s="18">
        <f>L410</f>
        <v>500000</v>
      </c>
      <c r="M412" s="3">
        <v>3.5999999999999997E-2</v>
      </c>
      <c r="O412" s="2"/>
      <c r="Q412" s="5">
        <v>43144</v>
      </c>
      <c r="S412" s="4">
        <f>(Q412-B412)/365.24</f>
        <v>4.9994524148505093</v>
      </c>
    </row>
    <row r="413" spans="1:19">
      <c r="A413" s="1" t="s">
        <v>678</v>
      </c>
      <c r="B413" s="5">
        <v>41247</v>
      </c>
      <c r="C413" s="20" t="s">
        <v>673</v>
      </c>
      <c r="D413" s="19">
        <v>639336000</v>
      </c>
      <c r="E413" s="1" t="s">
        <v>338</v>
      </c>
      <c r="F413" s="1" t="s">
        <v>5</v>
      </c>
      <c r="G413" s="18">
        <f>G412</f>
        <v>600000000</v>
      </c>
      <c r="L413" s="18">
        <f>L411</f>
        <v>1000000</v>
      </c>
      <c r="M413" s="3">
        <v>3.1E-2</v>
      </c>
      <c r="N413" s="17" t="s">
        <v>335</v>
      </c>
      <c r="O413" s="2">
        <v>1.2E-2</v>
      </c>
      <c r="Q413" s="5">
        <v>43073</v>
      </c>
      <c r="S413" s="4">
        <f>(Q413-B413)/365.24</f>
        <v>4.9994524148505093</v>
      </c>
    </row>
    <row r="414" spans="1:19">
      <c r="A414" s="1" t="s">
        <v>677</v>
      </c>
      <c r="B414" s="5">
        <v>41201</v>
      </c>
      <c r="C414" s="20" t="s">
        <v>673</v>
      </c>
      <c r="D414" s="19">
        <v>639336000</v>
      </c>
      <c r="E414" s="1" t="s">
        <v>338</v>
      </c>
      <c r="F414" s="1" t="s">
        <v>17</v>
      </c>
      <c r="G414" s="18">
        <f>G413</f>
        <v>600000000</v>
      </c>
      <c r="L414" s="18">
        <f>L412</f>
        <v>500000</v>
      </c>
      <c r="M414" s="3">
        <v>3.6850000000000001E-2</v>
      </c>
      <c r="O414" s="2"/>
      <c r="Q414" s="5">
        <v>43027</v>
      </c>
      <c r="S414" s="4">
        <f>(Q414-B414)/365.24</f>
        <v>4.9994524148505093</v>
      </c>
    </row>
    <row r="415" spans="1:19">
      <c r="A415" s="1" t="s">
        <v>676</v>
      </c>
      <c r="B415" s="5">
        <v>41101</v>
      </c>
      <c r="C415" s="20" t="s">
        <v>673</v>
      </c>
      <c r="D415" s="19">
        <v>639336000</v>
      </c>
      <c r="E415" s="1" t="s">
        <v>338</v>
      </c>
      <c r="F415" s="1" t="s">
        <v>5</v>
      </c>
      <c r="G415" s="18">
        <f>G414</f>
        <v>600000000</v>
      </c>
      <c r="L415" s="18">
        <f>L414</f>
        <v>500000</v>
      </c>
      <c r="M415" s="3">
        <v>3.7499999999999999E-2</v>
      </c>
      <c r="N415" s="17" t="s">
        <v>335</v>
      </c>
      <c r="O415" s="2">
        <v>1.4999999999999999E-2</v>
      </c>
      <c r="Q415" s="5">
        <v>42126</v>
      </c>
      <c r="S415" s="4">
        <f>(Q415-B415)/365.24</f>
        <v>2.8063738911400722</v>
      </c>
    </row>
    <row r="416" spans="1:19">
      <c r="A416" s="1" t="s">
        <v>675</v>
      </c>
      <c r="B416" s="5">
        <v>41047</v>
      </c>
      <c r="C416" s="20" t="s">
        <v>673</v>
      </c>
      <c r="D416" s="19">
        <v>639336000</v>
      </c>
      <c r="E416" s="1" t="s">
        <v>338</v>
      </c>
      <c r="F416" s="1" t="s">
        <v>17</v>
      </c>
      <c r="G416" s="18">
        <f>G415</f>
        <v>600000000</v>
      </c>
      <c r="L416" s="18">
        <f>L415</f>
        <v>500000</v>
      </c>
      <c r="M416" s="3">
        <v>4.1500000000000002E-2</v>
      </c>
      <c r="O416" s="2"/>
      <c r="Q416" s="5">
        <v>42508</v>
      </c>
      <c r="S416" s="4">
        <f>(Q416-B416)/365.24</f>
        <v>4.0001095170298981</v>
      </c>
    </row>
    <row r="417" spans="1:22">
      <c r="A417" s="1" t="s">
        <v>674</v>
      </c>
      <c r="B417" s="5">
        <v>40974</v>
      </c>
      <c r="C417" s="20" t="s">
        <v>673</v>
      </c>
      <c r="D417" s="19">
        <v>639336000</v>
      </c>
      <c r="E417" s="1" t="s">
        <v>338</v>
      </c>
      <c r="F417" s="1" t="s">
        <v>5</v>
      </c>
      <c r="G417" s="18">
        <f>G416</f>
        <v>600000000</v>
      </c>
      <c r="L417" s="18">
        <f>L413</f>
        <v>1000000</v>
      </c>
      <c r="M417" s="3">
        <v>4.2700000000000002E-2</v>
      </c>
      <c r="N417" s="17" t="s">
        <v>335</v>
      </c>
      <c r="O417" s="2">
        <v>1.67E-2</v>
      </c>
      <c r="Q417" s="5">
        <v>42800</v>
      </c>
      <c r="S417" s="4">
        <f>(Q417-B417)/365.24</f>
        <v>4.9994524148505093</v>
      </c>
    </row>
    <row r="418" spans="1:22">
      <c r="A418" s="1" t="s">
        <v>672</v>
      </c>
      <c r="B418" s="5">
        <v>40688</v>
      </c>
      <c r="C418" s="20" t="s">
        <v>671</v>
      </c>
      <c r="D418" s="19">
        <v>2302528000</v>
      </c>
      <c r="E418" s="1" t="s">
        <v>341</v>
      </c>
      <c r="F418" s="1" t="s">
        <v>5</v>
      </c>
      <c r="G418" s="18">
        <f>G543</f>
        <v>400000000</v>
      </c>
      <c r="L418" s="18">
        <f>L416</f>
        <v>500000</v>
      </c>
      <c r="M418" s="3">
        <v>3.5299999999999998E-2</v>
      </c>
      <c r="N418" s="17" t="s">
        <v>335</v>
      </c>
      <c r="O418" s="2">
        <v>7.4999999999999997E-3</v>
      </c>
      <c r="Q418" s="5">
        <v>41782</v>
      </c>
      <c r="S418" s="4">
        <f>(Q418-B418)/365.24</f>
        <v>2.9952907677143794</v>
      </c>
    </row>
    <row r="419" spans="1:22">
      <c r="A419" s="1" t="s">
        <v>670</v>
      </c>
      <c r="B419" s="5">
        <v>41347</v>
      </c>
      <c r="C419" s="20" t="s">
        <v>668</v>
      </c>
      <c r="D419" s="19">
        <v>847306000</v>
      </c>
      <c r="E419" s="1" t="s">
        <v>53</v>
      </c>
      <c r="F419" s="1" t="s">
        <v>5</v>
      </c>
      <c r="G419" s="18">
        <f>G595</f>
        <v>500000000</v>
      </c>
      <c r="L419" s="18">
        <f>L417</f>
        <v>1000000</v>
      </c>
      <c r="M419" s="3">
        <v>7.5499999999999998E-2</v>
      </c>
      <c r="N419" s="17" t="s">
        <v>335</v>
      </c>
      <c r="O419" s="2">
        <v>5.7500000000000002E-2</v>
      </c>
      <c r="Q419" s="5">
        <v>43173</v>
      </c>
      <c r="S419" s="4">
        <f>(Q419-B419)/365.24</f>
        <v>4.9994524148505093</v>
      </c>
    </row>
    <row r="420" spans="1:22">
      <c r="A420" s="1" t="s">
        <v>669</v>
      </c>
      <c r="B420" s="5">
        <v>41263</v>
      </c>
      <c r="C420" s="20" t="s">
        <v>668</v>
      </c>
      <c r="D420" s="19">
        <v>653035000</v>
      </c>
      <c r="E420" s="1" t="s">
        <v>53</v>
      </c>
      <c r="F420" s="1" t="s">
        <v>5</v>
      </c>
      <c r="G420" s="18">
        <f>G606</f>
        <v>150000000</v>
      </c>
      <c r="L420" s="18">
        <f>L419</f>
        <v>1000000</v>
      </c>
      <c r="M420" s="3">
        <v>7.0800000000000002E-2</v>
      </c>
      <c r="N420" s="17" t="s">
        <v>335</v>
      </c>
      <c r="O420" s="2">
        <v>5.2499999999999998E-2</v>
      </c>
      <c r="Q420" s="5">
        <v>42094</v>
      </c>
      <c r="S420" s="4">
        <f>(Q420-B420)/365.24</f>
        <v>2.2752162961340487</v>
      </c>
    </row>
    <row r="421" spans="1:22">
      <c r="A421" s="1" t="s">
        <v>667</v>
      </c>
      <c r="B421" s="5">
        <v>40862</v>
      </c>
      <c r="C421" s="1" t="s">
        <v>666</v>
      </c>
      <c r="D421" s="19">
        <v>45869000000</v>
      </c>
      <c r="E421" s="1" t="s">
        <v>338</v>
      </c>
      <c r="F421" s="1" t="s">
        <v>17</v>
      </c>
      <c r="G421" s="18">
        <v>1000000000</v>
      </c>
      <c r="L421" s="18">
        <v>500000</v>
      </c>
      <c r="M421" s="3">
        <v>5.0500000000000003E-2</v>
      </c>
      <c r="Q421" s="5">
        <v>42689</v>
      </c>
      <c r="S421" s="4">
        <f>(Q421-B421)/365.24</f>
        <v>5.0021903405979629</v>
      </c>
    </row>
    <row r="422" spans="1:22">
      <c r="A422" s="1" t="s">
        <v>665</v>
      </c>
      <c r="B422" s="5">
        <v>41688</v>
      </c>
      <c r="C422" s="1" t="s">
        <v>269</v>
      </c>
      <c r="D422" s="19"/>
      <c r="E422" s="1" t="s">
        <v>338</v>
      </c>
      <c r="F422" s="1" t="s">
        <v>17</v>
      </c>
      <c r="G422" s="18">
        <v>2000000000</v>
      </c>
      <c r="L422" s="18">
        <v>1000000</v>
      </c>
      <c r="M422" s="3">
        <v>2.9499999999999998E-2</v>
      </c>
      <c r="Q422" s="5">
        <v>43514</v>
      </c>
      <c r="S422" s="4">
        <f>(Q422-B422)/365.24</f>
        <v>4.9994524148505093</v>
      </c>
    </row>
    <row r="423" spans="1:22">
      <c r="A423" s="1" t="s">
        <v>664</v>
      </c>
      <c r="B423" s="5">
        <v>41557</v>
      </c>
      <c r="C423" s="1" t="s">
        <v>269</v>
      </c>
      <c r="D423" s="19">
        <v>2658000000</v>
      </c>
      <c r="E423" s="1" t="s">
        <v>338</v>
      </c>
      <c r="F423" s="1" t="s">
        <v>5</v>
      </c>
      <c r="G423" s="18">
        <v>250000000</v>
      </c>
      <c r="L423" s="18">
        <v>100000</v>
      </c>
      <c r="M423" s="3">
        <f>1.7%+O423</f>
        <v>5.3499999999999999E-2</v>
      </c>
      <c r="N423" s="17" t="s">
        <v>335</v>
      </c>
      <c r="O423" s="3">
        <v>3.6499999999999998E-2</v>
      </c>
      <c r="Q423" s="1" t="s">
        <v>663</v>
      </c>
      <c r="S423" s="4" t="e">
        <f>(Q423-B423)/365.24</f>
        <v>#VALUE!</v>
      </c>
      <c r="V423" s="1" t="s">
        <v>56</v>
      </c>
    </row>
    <row r="424" spans="1:22">
      <c r="A424" s="1" t="s">
        <v>662</v>
      </c>
      <c r="B424" s="5">
        <v>41557</v>
      </c>
      <c r="C424" s="1" t="s">
        <v>269</v>
      </c>
      <c r="D424" s="19">
        <v>2658000000</v>
      </c>
      <c r="E424" s="1" t="s">
        <v>338</v>
      </c>
      <c r="F424" s="1" t="s">
        <v>5</v>
      </c>
      <c r="G424" s="18">
        <v>500000000</v>
      </c>
      <c r="L424" s="18">
        <v>100000</v>
      </c>
      <c r="M424" s="3">
        <f>1.7%+O424</f>
        <v>3.5500000000000004E-2</v>
      </c>
      <c r="N424" s="17" t="s">
        <v>335</v>
      </c>
      <c r="O424" s="3">
        <v>1.8499999999999999E-2</v>
      </c>
      <c r="Q424" s="5">
        <v>45209</v>
      </c>
      <c r="S424" s="4">
        <f>(Q424-B424)/365.24</f>
        <v>9.9989048297010186</v>
      </c>
      <c r="V424" s="1" t="s">
        <v>56</v>
      </c>
    </row>
    <row r="425" spans="1:22">
      <c r="A425" s="1" t="s">
        <v>661</v>
      </c>
      <c r="B425" s="5">
        <v>41383</v>
      </c>
      <c r="C425" s="1" t="s">
        <v>269</v>
      </c>
      <c r="D425" s="19">
        <v>2658000000</v>
      </c>
      <c r="E425" s="1" t="s">
        <v>338</v>
      </c>
      <c r="F425" s="1" t="s">
        <v>17</v>
      </c>
      <c r="G425" s="18">
        <v>2000000000</v>
      </c>
      <c r="L425" s="18">
        <v>1000000</v>
      </c>
      <c r="M425" s="3">
        <v>3.125E-2</v>
      </c>
      <c r="Q425" s="5">
        <v>43209</v>
      </c>
      <c r="S425" s="4">
        <f>(Q425-B425)/365.24</f>
        <v>4.9994524148505093</v>
      </c>
    </row>
    <row r="426" spans="1:22">
      <c r="A426" s="1" t="s">
        <v>660</v>
      </c>
      <c r="B426" s="5">
        <v>41292</v>
      </c>
      <c r="C426" s="1" t="s">
        <v>269</v>
      </c>
      <c r="D426" s="19">
        <v>2658000000</v>
      </c>
      <c r="E426" s="1" t="s">
        <v>338</v>
      </c>
      <c r="F426" s="1" t="s">
        <v>17</v>
      </c>
      <c r="G426" s="18">
        <v>2000000000</v>
      </c>
      <c r="L426" s="18">
        <v>1000000</v>
      </c>
      <c r="M426" s="3">
        <v>3.4500000000000003E-2</v>
      </c>
      <c r="Q426" s="5">
        <v>43118</v>
      </c>
      <c r="S426" s="4">
        <f>(Q426-B426)/365.24</f>
        <v>4.9994524148505093</v>
      </c>
    </row>
    <row r="427" spans="1:22">
      <c r="A427" s="1" t="s">
        <v>659</v>
      </c>
      <c r="B427" s="5">
        <v>41289</v>
      </c>
      <c r="C427" s="1" t="s">
        <v>269</v>
      </c>
      <c r="D427" s="19">
        <v>2658000000</v>
      </c>
      <c r="E427" s="1" t="s">
        <v>338</v>
      </c>
      <c r="F427" s="1" t="s">
        <v>5</v>
      </c>
      <c r="G427" s="18">
        <v>2000000000</v>
      </c>
      <c r="L427" s="18">
        <v>1000000</v>
      </c>
      <c r="M427" s="3">
        <v>2.9700000000000001E-2</v>
      </c>
      <c r="N427" s="17" t="s">
        <v>335</v>
      </c>
      <c r="O427" s="3">
        <v>1.0999999999999999E-2</v>
      </c>
      <c r="Q427" s="5">
        <v>43115</v>
      </c>
      <c r="S427" s="4">
        <f>(Q427-B427)/365.24</f>
        <v>4.9994524148505093</v>
      </c>
    </row>
    <row r="428" spans="1:22">
      <c r="A428" s="1" t="s">
        <v>658</v>
      </c>
      <c r="B428" s="5">
        <v>41226</v>
      </c>
      <c r="C428" s="1" t="s">
        <v>269</v>
      </c>
      <c r="D428" s="19">
        <v>2193000000</v>
      </c>
      <c r="E428" s="1" t="s">
        <v>338</v>
      </c>
      <c r="F428" s="1" t="s">
        <v>5</v>
      </c>
      <c r="G428" s="18">
        <f>G427</f>
        <v>2000000000</v>
      </c>
      <c r="L428" s="18">
        <f>L427</f>
        <v>1000000</v>
      </c>
      <c r="M428" s="3">
        <v>3.1899999999999998E-2</v>
      </c>
      <c r="N428" s="17" t="s">
        <v>335</v>
      </c>
      <c r="O428" s="3">
        <v>1.2699999999999999E-2</v>
      </c>
      <c r="Q428" s="5">
        <v>43052</v>
      </c>
      <c r="S428" s="4">
        <f>(Q428-B428)/365.24</f>
        <v>4.9994524148505093</v>
      </c>
    </row>
    <row r="429" spans="1:22">
      <c r="A429" s="1" t="s">
        <v>657</v>
      </c>
      <c r="B429" s="5">
        <v>41128</v>
      </c>
      <c r="C429" s="1" t="s">
        <v>269</v>
      </c>
      <c r="D429" s="19">
        <v>2193000000</v>
      </c>
      <c r="E429" s="1" t="s">
        <v>338</v>
      </c>
      <c r="F429" s="1" t="s">
        <v>5</v>
      </c>
      <c r="G429" s="18">
        <f>G428</f>
        <v>2000000000</v>
      </c>
      <c r="L429" s="18">
        <f>L428</f>
        <v>1000000</v>
      </c>
      <c r="M429" s="3">
        <v>3.85E-2</v>
      </c>
      <c r="N429" s="17" t="s">
        <v>335</v>
      </c>
      <c r="O429" s="3">
        <v>1.6E-2</v>
      </c>
      <c r="Q429" s="5">
        <v>42711</v>
      </c>
      <c r="S429" s="4">
        <f>(Q429-B429)/365.24</f>
        <v>4.3341364582192528</v>
      </c>
    </row>
    <row r="430" spans="1:22">
      <c r="A430" s="1" t="s">
        <v>656</v>
      </c>
      <c r="B430" s="5">
        <v>41108</v>
      </c>
      <c r="C430" s="1" t="s">
        <v>269</v>
      </c>
      <c r="D430" s="19">
        <v>2193000000</v>
      </c>
      <c r="E430" s="1" t="s">
        <v>338</v>
      </c>
      <c r="F430" s="1" t="s">
        <v>5</v>
      </c>
      <c r="G430" s="18">
        <f>G429</f>
        <v>2000000000</v>
      </c>
      <c r="L430" s="18">
        <f>L429</f>
        <v>1000000</v>
      </c>
      <c r="M430" s="3">
        <v>4.0300000000000002E-2</v>
      </c>
      <c r="N430" s="17" t="s">
        <v>335</v>
      </c>
      <c r="O430" s="3">
        <v>1.7999999999999999E-2</v>
      </c>
      <c r="Q430" s="5">
        <v>42934</v>
      </c>
      <c r="S430" s="4">
        <f>(Q430-B430)/365.24</f>
        <v>4.9994524148505093</v>
      </c>
    </row>
    <row r="431" spans="1:22">
      <c r="A431" s="1" t="s">
        <v>655</v>
      </c>
      <c r="B431" s="5">
        <v>40948</v>
      </c>
      <c r="C431" s="1" t="s">
        <v>269</v>
      </c>
      <c r="D431" s="19">
        <v>2193000000</v>
      </c>
      <c r="E431" s="1" t="s">
        <v>338</v>
      </c>
      <c r="F431" s="1" t="s">
        <v>5</v>
      </c>
      <c r="G431" s="18">
        <v>375000000</v>
      </c>
      <c r="L431" s="18">
        <v>200000</v>
      </c>
      <c r="M431" s="3">
        <v>6.1800000000000001E-2</v>
      </c>
      <c r="N431" s="17" t="s">
        <v>335</v>
      </c>
      <c r="O431" s="3">
        <v>3.5000000000000003E-2</v>
      </c>
      <c r="Q431" s="5">
        <v>44601</v>
      </c>
      <c r="S431" s="4">
        <f>(Q431-B431)/365.24</f>
        <v>10.001642755448472</v>
      </c>
      <c r="V431" s="1" t="s">
        <v>56</v>
      </c>
    </row>
    <row r="432" spans="1:22">
      <c r="A432" s="1" t="s">
        <v>654</v>
      </c>
      <c r="B432" s="5">
        <v>41024</v>
      </c>
      <c r="C432" s="1" t="s">
        <v>269</v>
      </c>
      <c r="D432" s="19">
        <v>2193000000</v>
      </c>
      <c r="E432" s="1" t="s">
        <v>338</v>
      </c>
      <c r="F432" s="1" t="s">
        <v>5</v>
      </c>
      <c r="G432" s="18">
        <f>G430</f>
        <v>2000000000</v>
      </c>
      <c r="L432" s="18">
        <v>500000</v>
      </c>
      <c r="M432" s="3">
        <v>3.7199999999999997E-2</v>
      </c>
      <c r="N432" s="17" t="s">
        <v>335</v>
      </c>
      <c r="O432" s="3">
        <v>1.4200000000000001E-2</v>
      </c>
      <c r="Q432" s="5">
        <v>42485</v>
      </c>
      <c r="S432" s="4">
        <f>(Q432-B432)/365.24</f>
        <v>4.0001095170298981</v>
      </c>
    </row>
    <row r="433" spans="1:22">
      <c r="A433" s="1" t="s">
        <v>653</v>
      </c>
      <c r="B433" s="5">
        <v>41009</v>
      </c>
      <c r="C433" s="1" t="s">
        <v>269</v>
      </c>
      <c r="D433" s="19">
        <v>2193000000</v>
      </c>
      <c r="E433" s="1" t="s">
        <v>338</v>
      </c>
      <c r="F433" s="1" t="s">
        <v>5</v>
      </c>
      <c r="G433" s="18">
        <f>G432</f>
        <v>2000000000</v>
      </c>
      <c r="L433" s="18">
        <f>L432</f>
        <v>500000</v>
      </c>
      <c r="M433" s="3">
        <v>3.6600000000000001E-2</v>
      </c>
      <c r="N433" s="17" t="s">
        <v>335</v>
      </c>
      <c r="O433" s="3">
        <v>1.34E-2</v>
      </c>
      <c r="Q433" s="5">
        <v>42348</v>
      </c>
      <c r="S433" s="4">
        <f>(Q433-B433)/365.24</f>
        <v>3.6660825758405431</v>
      </c>
    </row>
    <row r="434" spans="1:22">
      <c r="A434" s="1" t="s">
        <v>652</v>
      </c>
      <c r="B434" s="5">
        <v>40924</v>
      </c>
      <c r="C434" s="1" t="s">
        <v>269</v>
      </c>
      <c r="D434" s="19">
        <v>2193000000</v>
      </c>
      <c r="E434" s="1" t="s">
        <v>338</v>
      </c>
      <c r="F434" s="1" t="s">
        <v>5</v>
      </c>
      <c r="G434" s="18">
        <f>G433</f>
        <v>2000000000</v>
      </c>
      <c r="L434" s="18">
        <f>L433</f>
        <v>500000</v>
      </c>
      <c r="M434" s="3">
        <v>4.02E-2</v>
      </c>
      <c r="N434" s="17" t="s">
        <v>335</v>
      </c>
      <c r="O434" s="3">
        <v>1.4200000000000001E-2</v>
      </c>
      <c r="Q434" s="5">
        <v>42079</v>
      </c>
      <c r="S434" s="4">
        <f>(Q434-B434)/365.24</f>
        <v>3.1623042383090572</v>
      </c>
    </row>
    <row r="435" spans="1:22">
      <c r="A435" s="1" t="s">
        <v>651</v>
      </c>
      <c r="B435" s="5">
        <v>40918</v>
      </c>
      <c r="C435" s="1" t="s">
        <v>269</v>
      </c>
      <c r="D435" s="19">
        <v>2193000000</v>
      </c>
      <c r="E435" s="1" t="s">
        <v>338</v>
      </c>
      <c r="F435" s="1" t="s">
        <v>5</v>
      </c>
      <c r="G435" s="18">
        <f>G434</f>
        <v>2000000000</v>
      </c>
      <c r="L435" s="18">
        <f>L434</f>
        <v>500000</v>
      </c>
      <c r="M435" s="3">
        <v>3.9199999999999999E-2</v>
      </c>
      <c r="N435" s="17" t="s">
        <v>335</v>
      </c>
      <c r="O435" s="3">
        <v>1.2E-2</v>
      </c>
      <c r="Q435" s="5">
        <v>41892</v>
      </c>
      <c r="S435" s="4">
        <f>(Q435-B435)/365.24</f>
        <v>2.6667396780199319</v>
      </c>
    </row>
    <row r="436" spans="1:22">
      <c r="A436" s="1" t="s">
        <v>650</v>
      </c>
      <c r="B436" s="5">
        <v>41390</v>
      </c>
      <c r="C436" s="1" t="s">
        <v>647</v>
      </c>
      <c r="D436" s="19">
        <v>136549000</v>
      </c>
      <c r="E436" s="1" t="s">
        <v>338</v>
      </c>
      <c r="F436" s="1" t="s">
        <v>5</v>
      </c>
      <c r="G436" s="18">
        <v>100000000</v>
      </c>
      <c r="L436" s="18">
        <v>1000000</v>
      </c>
      <c r="M436" s="3">
        <v>2.69E-2</v>
      </c>
      <c r="N436" s="17" t="s">
        <v>335</v>
      </c>
      <c r="O436" s="3">
        <v>8.9999999999999993E-3</v>
      </c>
      <c r="Q436" s="5">
        <v>42486</v>
      </c>
      <c r="S436" s="4">
        <f>(Q436-B436)/365.24</f>
        <v>3.000766619209287</v>
      </c>
    </row>
    <row r="437" spans="1:22">
      <c r="A437" s="1" t="s">
        <v>649</v>
      </c>
      <c r="B437" s="5">
        <v>41131</v>
      </c>
      <c r="C437" s="1" t="s">
        <v>647</v>
      </c>
      <c r="D437" s="19">
        <v>129852000</v>
      </c>
      <c r="E437" s="1" t="s">
        <v>338</v>
      </c>
      <c r="F437" s="1" t="s">
        <v>5</v>
      </c>
      <c r="G437" s="18">
        <v>150000000</v>
      </c>
      <c r="L437" s="18">
        <v>1000000</v>
      </c>
      <c r="M437" s="3">
        <v>3.9100000000000003E-2</v>
      </c>
      <c r="N437" s="17" t="s">
        <v>335</v>
      </c>
      <c r="O437" s="3">
        <v>1.7500000000000002E-2</v>
      </c>
      <c r="Q437" s="5">
        <v>42592</v>
      </c>
      <c r="S437" s="4">
        <f>(Q437-B437)/365.24</f>
        <v>4.0001095170298981</v>
      </c>
    </row>
    <row r="438" spans="1:22">
      <c r="A438" s="1" t="s">
        <v>648</v>
      </c>
      <c r="B438" s="5">
        <v>41064</v>
      </c>
      <c r="C438" s="1" t="s">
        <v>647</v>
      </c>
      <c r="D438" s="19">
        <v>129852000</v>
      </c>
      <c r="E438" s="1" t="s">
        <v>338</v>
      </c>
      <c r="F438" s="1" t="s">
        <v>5</v>
      </c>
      <c r="G438" s="18">
        <v>200000000</v>
      </c>
      <c r="L438" s="18">
        <v>500000</v>
      </c>
      <c r="M438" s="3">
        <v>3.7600000000000001E-2</v>
      </c>
      <c r="N438" s="17" t="s">
        <v>335</v>
      </c>
      <c r="O438" s="3">
        <v>1.3500000000000002E-2</v>
      </c>
      <c r="Q438" s="5">
        <v>41977</v>
      </c>
      <c r="S438" s="4">
        <f>(Q438-B438)/365.24</f>
        <v>2.4997262074252546</v>
      </c>
    </row>
    <row r="439" spans="1:22">
      <c r="A439" s="1" t="s">
        <v>646</v>
      </c>
      <c r="B439" s="5">
        <v>41311</v>
      </c>
      <c r="C439" s="1" t="s">
        <v>643</v>
      </c>
      <c r="D439" s="19">
        <v>103894000</v>
      </c>
      <c r="E439" s="1" t="s">
        <v>338</v>
      </c>
      <c r="F439" s="1" t="s">
        <v>5</v>
      </c>
      <c r="G439" s="18">
        <v>100000000</v>
      </c>
      <c r="L439" s="18">
        <v>1000000</v>
      </c>
      <c r="M439" s="3">
        <v>3.1199999999999999E-2</v>
      </c>
      <c r="N439" s="17" t="s">
        <v>335</v>
      </c>
      <c r="O439" s="3">
        <v>1.2199999999999999E-2</v>
      </c>
      <c r="Q439" s="5">
        <v>42772</v>
      </c>
      <c r="S439" s="4">
        <f>(Q439-B439)/365.24</f>
        <v>4.0001095170298981</v>
      </c>
    </row>
    <row r="440" spans="1:22">
      <c r="A440" s="1" t="s">
        <v>645</v>
      </c>
      <c r="B440" s="5">
        <v>41017</v>
      </c>
      <c r="C440" s="1" t="s">
        <v>643</v>
      </c>
      <c r="D440" s="19">
        <v>97042000</v>
      </c>
      <c r="E440" s="1" t="s">
        <v>338</v>
      </c>
      <c r="F440" s="1" t="s">
        <v>5</v>
      </c>
      <c r="G440" s="18">
        <f>G439</f>
        <v>100000000</v>
      </c>
      <c r="L440" s="18">
        <v>500000</v>
      </c>
      <c r="M440" s="3">
        <v>3.9899999999999998E-2</v>
      </c>
      <c r="N440" s="17" t="s">
        <v>335</v>
      </c>
      <c r="O440" s="3">
        <v>1.6799999999999999E-2</v>
      </c>
      <c r="Q440" s="5">
        <v>42478</v>
      </c>
      <c r="S440" s="4">
        <f>(Q440-B440)/365.24</f>
        <v>4.0001095170298981</v>
      </c>
    </row>
    <row r="441" spans="1:22">
      <c r="A441" s="1" t="s">
        <v>644</v>
      </c>
      <c r="B441" s="5">
        <v>40858</v>
      </c>
      <c r="C441" s="1" t="s">
        <v>643</v>
      </c>
      <c r="D441" s="19">
        <v>87163000</v>
      </c>
      <c r="E441" s="1" t="s">
        <v>338</v>
      </c>
      <c r="F441" s="1" t="s">
        <v>5</v>
      </c>
      <c r="G441" s="18">
        <v>100000000</v>
      </c>
      <c r="L441" s="18">
        <v>500000</v>
      </c>
      <c r="M441" s="3">
        <v>4.36E-2</v>
      </c>
      <c r="N441" s="17" t="s">
        <v>335</v>
      </c>
      <c r="O441" s="3">
        <v>1.2500000000000001E-2</v>
      </c>
      <c r="Q441" s="5">
        <v>41771</v>
      </c>
      <c r="S441" s="4">
        <f>(Q441-B441)/365.24</f>
        <v>2.4997262074252546</v>
      </c>
    </row>
    <row r="442" spans="1:22">
      <c r="A442" s="1" t="s">
        <v>642</v>
      </c>
      <c r="B442" s="5">
        <v>41394</v>
      </c>
      <c r="C442" s="1" t="s">
        <v>641</v>
      </c>
      <c r="D442" s="19"/>
      <c r="E442" s="1" t="s">
        <v>53</v>
      </c>
      <c r="F442" s="1" t="s">
        <v>17</v>
      </c>
      <c r="G442" s="18">
        <v>225000000</v>
      </c>
      <c r="L442" s="18">
        <v>1000000</v>
      </c>
      <c r="M442" s="3">
        <v>0.09</v>
      </c>
      <c r="O442" s="2"/>
      <c r="Q442" s="5">
        <v>43585</v>
      </c>
      <c r="S442" s="4">
        <f>(Q442-B442)/365.24</f>
        <v>5.9987953126711204</v>
      </c>
      <c r="V442" s="1" t="s">
        <v>56</v>
      </c>
    </row>
    <row r="443" spans="1:22">
      <c r="A443" s="1" t="s">
        <v>640</v>
      </c>
      <c r="B443" s="5">
        <v>41303</v>
      </c>
      <c r="C443" s="1" t="s">
        <v>633</v>
      </c>
      <c r="D443" s="19">
        <v>1552800000</v>
      </c>
      <c r="E443" s="1" t="s">
        <v>338</v>
      </c>
      <c r="F443" s="1" t="s">
        <v>5</v>
      </c>
      <c r="G443" s="18">
        <v>1000000000</v>
      </c>
      <c r="L443" s="18">
        <v>1000000</v>
      </c>
      <c r="M443" s="3">
        <v>2.7E-2</v>
      </c>
      <c r="N443" s="17" t="s">
        <v>335</v>
      </c>
      <c r="O443" s="3">
        <v>8.2000000000000007E-3</v>
      </c>
      <c r="Q443" s="5">
        <v>42398</v>
      </c>
      <c r="S443" s="4">
        <f>(Q443-B443)/365.24</f>
        <v>2.9980286934618334</v>
      </c>
    </row>
    <row r="444" spans="1:22">
      <c r="A444" s="1" t="s">
        <v>639</v>
      </c>
      <c r="B444" s="5">
        <v>41226</v>
      </c>
      <c r="C444" s="1" t="s">
        <v>633</v>
      </c>
      <c r="D444" s="19">
        <v>1536900000</v>
      </c>
      <c r="E444" s="1" t="s">
        <v>338</v>
      </c>
      <c r="F444" s="1" t="s">
        <v>5</v>
      </c>
      <c r="G444" s="18">
        <f>G443</f>
        <v>1000000000</v>
      </c>
      <c r="L444" s="18">
        <f>L443</f>
        <v>1000000</v>
      </c>
      <c r="M444" s="3">
        <v>3.4700000000000002E-2</v>
      </c>
      <c r="N444" s="17" t="s">
        <v>335</v>
      </c>
      <c r="O444" s="3">
        <v>1.55E-2</v>
      </c>
      <c r="Q444" s="5">
        <v>43052</v>
      </c>
      <c r="S444" s="4">
        <f>(Q444-B444)/365.24</f>
        <v>4.9994524148505093</v>
      </c>
    </row>
    <row r="445" spans="1:22">
      <c r="A445" s="1" t="s">
        <v>638</v>
      </c>
      <c r="B445" s="5">
        <v>41190</v>
      </c>
      <c r="C445" s="1" t="s">
        <v>633</v>
      </c>
      <c r="D445" s="19">
        <v>1536900000</v>
      </c>
      <c r="E445" s="1" t="s">
        <v>338</v>
      </c>
      <c r="F445" s="1" t="s">
        <v>17</v>
      </c>
      <c r="G445" s="18">
        <f>G444</f>
        <v>1000000000</v>
      </c>
      <c r="L445" s="18">
        <f>L444</f>
        <v>1000000</v>
      </c>
      <c r="M445" s="3">
        <v>4.4499999999999998E-2</v>
      </c>
      <c r="O445" s="2"/>
      <c r="Q445" s="5">
        <v>43746</v>
      </c>
      <c r="S445" s="4">
        <f>(Q445-B445)/365.24</f>
        <v>6.9981382104917316</v>
      </c>
    </row>
    <row r="446" spans="1:22">
      <c r="A446" s="1" t="s">
        <v>637</v>
      </c>
      <c r="B446" s="5">
        <v>41096</v>
      </c>
      <c r="C446" s="1" t="s">
        <v>633</v>
      </c>
      <c r="D446" s="19">
        <v>1536900000</v>
      </c>
      <c r="E446" s="1" t="s">
        <v>338</v>
      </c>
      <c r="F446" s="1" t="s">
        <v>5</v>
      </c>
      <c r="G446" s="18">
        <v>1500000000</v>
      </c>
      <c r="L446" s="18">
        <v>500000</v>
      </c>
      <c r="M446" s="3">
        <v>3.73E-2</v>
      </c>
      <c r="N446" s="17" t="s">
        <v>335</v>
      </c>
      <c r="O446" s="3">
        <v>1.47E-2</v>
      </c>
      <c r="Q446" s="5">
        <v>42191</v>
      </c>
      <c r="S446" s="4">
        <f>(Q446-B446)/365.24</f>
        <v>2.9980286934618334</v>
      </c>
    </row>
    <row r="447" spans="1:22">
      <c r="A447" s="1" t="s">
        <v>636</v>
      </c>
      <c r="B447" s="5">
        <v>40994</v>
      </c>
      <c r="C447" s="1" t="s">
        <v>633</v>
      </c>
      <c r="D447" s="19">
        <v>1536900000</v>
      </c>
      <c r="E447" s="1" t="s">
        <v>338</v>
      </c>
      <c r="F447" s="1" t="s">
        <v>5</v>
      </c>
      <c r="G447" s="18">
        <f>G445</f>
        <v>1000000000</v>
      </c>
      <c r="L447" s="18">
        <f>L446</f>
        <v>500000</v>
      </c>
      <c r="M447" s="3">
        <v>0.04</v>
      </c>
      <c r="N447" s="17" t="s">
        <v>335</v>
      </c>
      <c r="O447" s="3">
        <v>1.7500000000000002E-2</v>
      </c>
      <c r="Q447" s="5">
        <v>42821</v>
      </c>
      <c r="S447" s="4">
        <f>(Q447-B447)/365.24</f>
        <v>5.0021903405979629</v>
      </c>
    </row>
    <row r="448" spans="1:22">
      <c r="A448" s="1" t="s">
        <v>635</v>
      </c>
      <c r="B448" s="5">
        <v>40934</v>
      </c>
      <c r="C448" s="1" t="s">
        <v>633</v>
      </c>
      <c r="D448" s="19">
        <v>1536900000</v>
      </c>
      <c r="E448" s="1" t="s">
        <v>338</v>
      </c>
      <c r="F448" s="1" t="s">
        <v>5</v>
      </c>
      <c r="G448" s="18">
        <f>G446</f>
        <v>1500000000</v>
      </c>
      <c r="L448" s="18">
        <f>L447</f>
        <v>500000</v>
      </c>
      <c r="M448" s="3">
        <v>4.24E-2</v>
      </c>
      <c r="N448" s="17" t="s">
        <v>335</v>
      </c>
      <c r="O448" s="3">
        <v>1.4999999999999999E-2</v>
      </c>
      <c r="Q448" s="5">
        <v>42030</v>
      </c>
      <c r="S448" s="4">
        <f>(Q448-B448)/365.24</f>
        <v>3.000766619209287</v>
      </c>
    </row>
    <row r="449" spans="1:19">
      <c r="A449" s="1" t="s">
        <v>634</v>
      </c>
      <c r="B449" s="5">
        <v>40585</v>
      </c>
      <c r="C449" s="1" t="s">
        <v>633</v>
      </c>
      <c r="D449" s="19">
        <v>1525400000</v>
      </c>
      <c r="E449" s="1" t="s">
        <v>338</v>
      </c>
      <c r="F449" s="1" t="s">
        <v>5</v>
      </c>
      <c r="G449" s="18">
        <f>G448</f>
        <v>1500000000</v>
      </c>
      <c r="L449" s="18">
        <f>L448</f>
        <v>500000</v>
      </c>
      <c r="M449" s="3">
        <v>3.61E-2</v>
      </c>
      <c r="N449" s="17" t="s">
        <v>335</v>
      </c>
      <c r="O449" s="3">
        <v>1.0500000000000001E-2</v>
      </c>
      <c r="Q449" s="5">
        <v>41862</v>
      </c>
      <c r="S449" s="4">
        <f>(Q449-B449)/365.24</f>
        <v>3.4963311794984118</v>
      </c>
    </row>
    <row r="450" spans="1:19">
      <c r="A450" s="1" t="s">
        <v>632</v>
      </c>
      <c r="B450" s="5">
        <v>41569</v>
      </c>
      <c r="C450" s="1" t="s">
        <v>629</v>
      </c>
      <c r="D450" s="19">
        <v>52479000000</v>
      </c>
      <c r="E450" s="1" t="s">
        <v>338</v>
      </c>
      <c r="F450" s="1" t="s">
        <v>17</v>
      </c>
      <c r="G450" s="18">
        <f>G447</f>
        <v>1000000000</v>
      </c>
      <c r="L450" s="18">
        <f>L444</f>
        <v>1000000</v>
      </c>
      <c r="M450" s="3">
        <v>4.9500000000000002E-2</v>
      </c>
      <c r="O450" s="2"/>
      <c r="Q450" s="5">
        <v>44126</v>
      </c>
      <c r="S450" s="4">
        <f>(Q450-B450)/365.24</f>
        <v>7.0008761362391851</v>
      </c>
    </row>
    <row r="451" spans="1:19">
      <c r="A451" s="1" t="s">
        <v>631</v>
      </c>
      <c r="B451" s="5">
        <v>41569</v>
      </c>
      <c r="C451" s="1" t="s">
        <v>629</v>
      </c>
      <c r="D451" s="19">
        <v>52479000000</v>
      </c>
      <c r="E451" s="1" t="s">
        <v>338</v>
      </c>
      <c r="F451" s="1" t="s">
        <v>5</v>
      </c>
      <c r="G451" s="18">
        <f>G450</f>
        <v>1000000000</v>
      </c>
      <c r="L451" s="18">
        <f>L450</f>
        <v>1000000</v>
      </c>
      <c r="M451" s="3">
        <v>3.4299999999999997E-2</v>
      </c>
      <c r="N451" s="17" t="s">
        <v>335</v>
      </c>
      <c r="O451" s="3">
        <v>1.7500000000000002E-2</v>
      </c>
      <c r="Q451" s="5">
        <v>43395</v>
      </c>
      <c r="S451" s="4">
        <f>(Q451-B451)/365.24</f>
        <v>4.9994524148505093</v>
      </c>
    </row>
    <row r="452" spans="1:19">
      <c r="A452" s="1" t="s">
        <v>630</v>
      </c>
      <c r="B452" s="5">
        <v>40638</v>
      </c>
      <c r="C452" s="1" t="s">
        <v>629</v>
      </c>
      <c r="D452" s="19">
        <v>48241000000</v>
      </c>
      <c r="E452" s="1" t="s">
        <v>338</v>
      </c>
      <c r="F452" s="1" t="s">
        <v>5</v>
      </c>
      <c r="G452" s="18">
        <f>G451</f>
        <v>1000000000</v>
      </c>
      <c r="L452" s="18">
        <f>L449</f>
        <v>500000</v>
      </c>
      <c r="M452" s="3">
        <v>4.4900000000000002E-2</v>
      </c>
      <c r="N452" s="17" t="s">
        <v>335</v>
      </c>
      <c r="O452" s="3">
        <v>1.8000000000000002E-2</v>
      </c>
      <c r="Q452" s="5">
        <v>42465</v>
      </c>
      <c r="S452" s="4">
        <f>(Q452-B452)/365.24</f>
        <v>5.0021903405979629</v>
      </c>
    </row>
    <row r="453" spans="1:19">
      <c r="A453" s="1" t="s">
        <v>628</v>
      </c>
      <c r="B453" s="5">
        <v>41256</v>
      </c>
      <c r="C453" s="1" t="s">
        <v>623</v>
      </c>
      <c r="D453" s="19">
        <v>137937000</v>
      </c>
      <c r="E453" s="1" t="s">
        <v>338</v>
      </c>
      <c r="F453" s="1" t="s">
        <v>33</v>
      </c>
      <c r="G453" s="18">
        <f>G452</f>
        <v>1000000000</v>
      </c>
      <c r="L453" s="18">
        <f>L451</f>
        <v>1000000</v>
      </c>
      <c r="M453" s="3">
        <v>2.4299999999999999E-2</v>
      </c>
      <c r="N453" s="17" t="s">
        <v>335</v>
      </c>
      <c r="O453" s="3">
        <v>5.7999999999999996E-3</v>
      </c>
      <c r="Q453" s="5">
        <v>43690</v>
      </c>
      <c r="R453" s="5">
        <v>44056</v>
      </c>
      <c r="S453" s="4">
        <f>(Q453-B453)/365.24</f>
        <v>6.6641112693023761</v>
      </c>
    </row>
    <row r="454" spans="1:19">
      <c r="A454" s="1" t="s">
        <v>627</v>
      </c>
      <c r="B454" s="5">
        <v>41170</v>
      </c>
      <c r="C454" s="1" t="s">
        <v>623</v>
      </c>
      <c r="D454" s="19">
        <v>137937000</v>
      </c>
      <c r="E454" s="1" t="s">
        <v>338</v>
      </c>
      <c r="F454" s="1" t="s">
        <v>33</v>
      </c>
      <c r="G454" s="18">
        <f>G453</f>
        <v>1000000000</v>
      </c>
      <c r="L454" s="18">
        <f>L453</f>
        <v>1000000</v>
      </c>
      <c r="M454" s="3">
        <v>1.9199999999999998E-2</v>
      </c>
      <c r="N454" s="17" t="s">
        <v>335</v>
      </c>
      <c r="O454" s="3">
        <v>5.4999999999999997E-3</v>
      </c>
      <c r="Q454" s="5">
        <v>43208</v>
      </c>
      <c r="R454" s="5">
        <v>43573</v>
      </c>
      <c r="S454" s="4">
        <f>(Q454-B454)/365.24</f>
        <v>5.5798926733106997</v>
      </c>
    </row>
    <row r="455" spans="1:19">
      <c r="A455" s="1" t="s">
        <v>626</v>
      </c>
      <c r="B455" s="5">
        <v>40956</v>
      </c>
      <c r="C455" s="1" t="s">
        <v>623</v>
      </c>
      <c r="D455" s="19">
        <v>137937000</v>
      </c>
      <c r="E455" s="1" t="s">
        <v>338</v>
      </c>
      <c r="F455" s="1" t="s">
        <v>33</v>
      </c>
      <c r="G455" s="18">
        <f>G454</f>
        <v>1000000000</v>
      </c>
      <c r="L455" s="18">
        <v>1000000</v>
      </c>
      <c r="M455" s="3">
        <v>3.3799999999999997E-2</v>
      </c>
      <c r="N455" s="17" t="s">
        <v>335</v>
      </c>
      <c r="O455" s="3">
        <v>7.1999999999999998E-3</v>
      </c>
      <c r="Q455" s="5">
        <v>42783</v>
      </c>
      <c r="R455" s="5">
        <v>43147</v>
      </c>
      <c r="S455" s="4">
        <f>(Q455-B455)/365.24</f>
        <v>5.0021903405979629</v>
      </c>
    </row>
    <row r="456" spans="1:19">
      <c r="A456" s="1" t="s">
        <v>625</v>
      </c>
      <c r="B456" s="5">
        <v>40884</v>
      </c>
      <c r="C456" s="1" t="s">
        <v>623</v>
      </c>
      <c r="D456" s="19">
        <v>68066000</v>
      </c>
      <c r="E456" s="1" t="s">
        <v>338</v>
      </c>
      <c r="F456" s="1" t="s">
        <v>33</v>
      </c>
      <c r="G456" s="18">
        <f>G455</f>
        <v>1000000000</v>
      </c>
      <c r="L456" s="18">
        <f>L452</f>
        <v>500000</v>
      </c>
      <c r="M456" s="3">
        <v>3.8399999999999997E-2</v>
      </c>
      <c r="N456" s="17" t="s">
        <v>335</v>
      </c>
      <c r="O456" s="3">
        <v>7.0000000000000001E-3</v>
      </c>
      <c r="Q456" s="5">
        <v>42345</v>
      </c>
      <c r="R456" s="5">
        <v>42711</v>
      </c>
      <c r="S456" s="4">
        <f>(Q456-B456)/365.24</f>
        <v>4.0001095170298981</v>
      </c>
    </row>
    <row r="457" spans="1:19">
      <c r="A457" s="1" t="s">
        <v>624</v>
      </c>
      <c r="B457" s="5">
        <v>40814</v>
      </c>
      <c r="C457" s="1" t="s">
        <v>623</v>
      </c>
      <c r="D457" s="19">
        <v>68066000</v>
      </c>
      <c r="E457" s="1" t="s">
        <v>338</v>
      </c>
      <c r="F457" s="1" t="s">
        <v>33</v>
      </c>
      <c r="G457" s="18">
        <f>G456</f>
        <v>1000000000</v>
      </c>
      <c r="L457" s="18">
        <f>L456</f>
        <v>500000</v>
      </c>
      <c r="M457" s="3">
        <v>3.5400000000000001E-2</v>
      </c>
      <c r="N457" s="17" t="s">
        <v>335</v>
      </c>
      <c r="O457" s="3">
        <v>5.4999999999999997E-3</v>
      </c>
      <c r="Q457" s="5">
        <v>42549</v>
      </c>
      <c r="R457" s="5">
        <v>42914</v>
      </c>
      <c r="S457" s="4">
        <f>(Q457-B457)/365.24</f>
        <v>4.7503011718322199</v>
      </c>
    </row>
    <row r="458" spans="1:19">
      <c r="A458" s="1" t="s">
        <v>622</v>
      </c>
      <c r="B458" s="5">
        <v>41612</v>
      </c>
      <c r="C458" s="1" t="s">
        <v>618</v>
      </c>
      <c r="D458" s="19">
        <v>266616000</v>
      </c>
      <c r="E458" s="1" t="s">
        <v>338</v>
      </c>
      <c r="F458" s="1" t="s">
        <v>33</v>
      </c>
      <c r="G458" s="18">
        <f>G457</f>
        <v>1000000000</v>
      </c>
      <c r="L458" s="18">
        <f>L455</f>
        <v>1000000</v>
      </c>
      <c r="M458" s="3">
        <v>2.1499999999999998E-2</v>
      </c>
      <c r="N458" s="17" t="s">
        <v>335</v>
      </c>
      <c r="O458" s="3">
        <v>4.7999999999999996E-3</v>
      </c>
      <c r="Q458" s="5">
        <v>43803</v>
      </c>
      <c r="R458" s="5">
        <v>44169</v>
      </c>
      <c r="S458" s="4">
        <f>(Q458-B458)/365.24</f>
        <v>5.9987953126711204</v>
      </c>
    </row>
    <row r="459" spans="1:19">
      <c r="A459" s="1" t="s">
        <v>621</v>
      </c>
      <c r="B459" s="5">
        <v>41537</v>
      </c>
      <c r="C459" s="1" t="s">
        <v>618</v>
      </c>
      <c r="D459" s="19">
        <v>266616000</v>
      </c>
      <c r="E459" s="1" t="s">
        <v>338</v>
      </c>
      <c r="F459" s="1" t="s">
        <v>33</v>
      </c>
      <c r="G459" s="18">
        <f>G458</f>
        <v>1000000000</v>
      </c>
      <c r="L459" s="18">
        <f>L458</f>
        <v>1000000</v>
      </c>
      <c r="M459" s="3">
        <v>2.1999999999999999E-2</v>
      </c>
      <c r="N459" s="17" t="s">
        <v>335</v>
      </c>
      <c r="O459" s="3">
        <v>5.0000000000000001E-3</v>
      </c>
      <c r="Q459" s="5">
        <v>43363</v>
      </c>
      <c r="R459" s="5">
        <v>43728</v>
      </c>
      <c r="S459" s="4">
        <f>(Q459-B459)/365.24</f>
        <v>4.9994524148505093</v>
      </c>
    </row>
    <row r="460" spans="1:19">
      <c r="A460" s="1" t="s">
        <v>620</v>
      </c>
      <c r="B460" s="5">
        <v>40947</v>
      </c>
      <c r="C460" s="1" t="s">
        <v>618</v>
      </c>
      <c r="D460" s="19">
        <v>225502000</v>
      </c>
      <c r="E460" s="1" t="s">
        <v>338</v>
      </c>
      <c r="F460" s="1" t="s">
        <v>33</v>
      </c>
      <c r="G460" s="18">
        <f>G459</f>
        <v>1000000000</v>
      </c>
      <c r="L460" s="18">
        <f>L459</f>
        <v>1000000</v>
      </c>
      <c r="M460" s="3">
        <v>3.7400000000000003E-2</v>
      </c>
      <c r="N460" s="17" t="s">
        <v>335</v>
      </c>
      <c r="O460" s="3">
        <v>1.0200000000000001E-2</v>
      </c>
      <c r="Q460" s="5">
        <v>42774</v>
      </c>
      <c r="R460" s="5">
        <v>43139</v>
      </c>
      <c r="S460" s="4">
        <f>(Q460-B460)/365.24</f>
        <v>5.0021903405979629</v>
      </c>
    </row>
    <row r="461" spans="1:19">
      <c r="A461" s="1" t="s">
        <v>619</v>
      </c>
      <c r="B461" s="5">
        <v>40599</v>
      </c>
      <c r="C461" s="1" t="s">
        <v>618</v>
      </c>
      <c r="D461" s="19">
        <v>175156000</v>
      </c>
      <c r="E461" s="1" t="s">
        <v>338</v>
      </c>
      <c r="F461" s="1" t="s">
        <v>33</v>
      </c>
      <c r="G461" s="18">
        <f>G460</f>
        <v>1000000000</v>
      </c>
      <c r="L461" s="18">
        <f>L457</f>
        <v>500000</v>
      </c>
      <c r="M461" s="3">
        <v>3.1099999999999999E-2</v>
      </c>
      <c r="N461" s="17" t="s">
        <v>335</v>
      </c>
      <c r="O461" s="3">
        <v>6.0000000000000001E-3</v>
      </c>
      <c r="Q461" s="5">
        <v>42060</v>
      </c>
      <c r="R461" s="5">
        <v>42425</v>
      </c>
      <c r="S461" s="4">
        <f>(Q461-B461)/365.24</f>
        <v>4.0001095170298981</v>
      </c>
    </row>
    <row r="462" spans="1:19">
      <c r="A462" s="1" t="s">
        <v>617</v>
      </c>
      <c r="B462" s="5">
        <v>41500</v>
      </c>
      <c r="C462" s="1" t="s">
        <v>611</v>
      </c>
      <c r="D462" s="19">
        <v>11652567000</v>
      </c>
      <c r="E462" s="1" t="s">
        <v>338</v>
      </c>
      <c r="F462" s="1" t="s">
        <v>5</v>
      </c>
      <c r="G462" s="18">
        <v>2000000000</v>
      </c>
      <c r="L462" s="18">
        <f>L460</f>
        <v>1000000</v>
      </c>
      <c r="M462" s="3">
        <v>2.5000000000000001E-2</v>
      </c>
      <c r="N462" s="17" t="s">
        <v>335</v>
      </c>
      <c r="O462" s="3">
        <v>7.7000000000000002E-3</v>
      </c>
      <c r="Q462" s="5">
        <v>43326</v>
      </c>
      <c r="S462" s="4">
        <f>(Q462-B462)/365.24</f>
        <v>4.9994524148505093</v>
      </c>
    </row>
    <row r="463" spans="1:19">
      <c r="A463" s="1" t="s">
        <v>616</v>
      </c>
      <c r="B463" s="5">
        <v>41401</v>
      </c>
      <c r="C463" s="1" t="s">
        <v>611</v>
      </c>
      <c r="D463" s="19">
        <v>11652567000</v>
      </c>
      <c r="E463" s="1" t="s">
        <v>338</v>
      </c>
      <c r="F463" s="1" t="s">
        <v>17</v>
      </c>
      <c r="G463" s="18">
        <v>3000000000</v>
      </c>
      <c r="L463" s="18">
        <f>L462</f>
        <v>1000000</v>
      </c>
      <c r="M463" s="3">
        <v>3.0499999999999999E-2</v>
      </c>
      <c r="Q463" s="5">
        <v>43411</v>
      </c>
      <c r="S463" s="4">
        <f>(Q463-B463)/365.24</f>
        <v>5.5032307523819952</v>
      </c>
    </row>
    <row r="464" spans="1:19">
      <c r="A464" s="1" t="s">
        <v>615</v>
      </c>
      <c r="B464" s="5">
        <v>41170</v>
      </c>
      <c r="C464" s="1" t="s">
        <v>611</v>
      </c>
      <c r="D464" s="19">
        <v>8970838000</v>
      </c>
      <c r="E464" s="1" t="s">
        <v>338</v>
      </c>
      <c r="F464" s="1" t="s">
        <v>17</v>
      </c>
      <c r="G464" s="18">
        <f>G462</f>
        <v>2000000000</v>
      </c>
      <c r="L464" s="18">
        <f>L463</f>
        <v>1000000</v>
      </c>
      <c r="M464" s="3">
        <v>3.9E-2</v>
      </c>
      <c r="Q464" s="5">
        <v>43026</v>
      </c>
      <c r="S464" s="4">
        <f>(Q464-B464)/365.24</f>
        <v>5.0815901872741209</v>
      </c>
    </row>
    <row r="465" spans="1:22">
      <c r="A465" s="1" t="s">
        <v>614</v>
      </c>
      <c r="B465" s="5">
        <v>40938</v>
      </c>
      <c r="C465" s="1" t="s">
        <v>611</v>
      </c>
      <c r="D465" s="19">
        <v>8970838000</v>
      </c>
      <c r="E465" s="1" t="s">
        <v>338</v>
      </c>
      <c r="F465" s="1" t="s">
        <v>17</v>
      </c>
      <c r="G465" s="18">
        <f>G463</f>
        <v>3000000000</v>
      </c>
      <c r="L465" s="18">
        <f>L461</f>
        <v>500000</v>
      </c>
      <c r="M465" s="3">
        <v>4.9500000000000002E-2</v>
      </c>
      <c r="Q465" s="5">
        <v>43130</v>
      </c>
      <c r="S465" s="4">
        <f>(Q465-B465)/365.24</f>
        <v>6.001533238418574</v>
      </c>
    </row>
    <row r="466" spans="1:22">
      <c r="A466" s="1" t="s">
        <v>613</v>
      </c>
      <c r="B466" s="5">
        <v>40927</v>
      </c>
      <c r="C466" s="1" t="s">
        <v>611</v>
      </c>
      <c r="D466" s="19">
        <v>8970838000</v>
      </c>
      <c r="E466" s="1" t="s">
        <v>338</v>
      </c>
      <c r="F466" s="1" t="s">
        <v>5</v>
      </c>
      <c r="G466" s="18">
        <f>G464</f>
        <v>2000000000</v>
      </c>
      <c r="L466" s="18">
        <f>L465</f>
        <v>500000</v>
      </c>
      <c r="M466" s="3">
        <v>0.04</v>
      </c>
      <c r="N466" s="17" t="s">
        <v>335</v>
      </c>
      <c r="O466" s="3">
        <v>1.35E-2</v>
      </c>
      <c r="Q466" s="5">
        <v>42023</v>
      </c>
      <c r="S466" s="4">
        <f>(Q466-B466)/365.24</f>
        <v>3.000766619209287</v>
      </c>
    </row>
    <row r="467" spans="1:22">
      <c r="A467" s="1" t="s">
        <v>612</v>
      </c>
      <c r="B467" s="5">
        <v>40924</v>
      </c>
      <c r="C467" s="1" t="s">
        <v>611</v>
      </c>
      <c r="D467" s="19">
        <v>8970838000</v>
      </c>
      <c r="E467" s="1" t="s">
        <v>338</v>
      </c>
      <c r="F467" s="1" t="s">
        <v>5</v>
      </c>
      <c r="G467" s="18">
        <v>2500000000</v>
      </c>
      <c r="L467" s="18">
        <f>L466</f>
        <v>500000</v>
      </c>
      <c r="M467" s="3">
        <v>4.4999999999999998E-2</v>
      </c>
      <c r="N467" s="17" t="s">
        <v>335</v>
      </c>
      <c r="O467" s="3">
        <v>1.9E-2</v>
      </c>
      <c r="Q467" s="5">
        <v>42751</v>
      </c>
      <c r="S467" s="4">
        <f>(Q467-B467)/365.24</f>
        <v>5.0021903405979629</v>
      </c>
    </row>
    <row r="468" spans="1:22">
      <c r="A468" s="1" t="s">
        <v>610</v>
      </c>
      <c r="B468" s="5">
        <v>41690</v>
      </c>
      <c r="C468" s="1" t="s">
        <v>607</v>
      </c>
      <c r="D468" s="19">
        <v>106173000</v>
      </c>
      <c r="E468" s="1" t="s">
        <v>338</v>
      </c>
      <c r="F468" s="1" t="s">
        <v>5</v>
      </c>
      <c r="G468" s="18">
        <v>150000000</v>
      </c>
      <c r="L468" s="18">
        <f>L464</f>
        <v>1000000</v>
      </c>
      <c r="M468" s="3">
        <v>2.6200000000000001E-2</v>
      </c>
      <c r="N468" s="17" t="s">
        <v>335</v>
      </c>
      <c r="O468" s="3">
        <v>9.2999999999999992E-3</v>
      </c>
      <c r="Q468" s="5">
        <v>43516</v>
      </c>
      <c r="S468" s="4">
        <f>(Q468-B468)/365.24</f>
        <v>4.9994524148505093</v>
      </c>
    </row>
    <row r="469" spans="1:22">
      <c r="A469" s="1" t="s">
        <v>609</v>
      </c>
      <c r="B469" s="5">
        <v>41383</v>
      </c>
      <c r="C469" s="1" t="s">
        <v>607</v>
      </c>
      <c r="D469" s="19">
        <v>92708000</v>
      </c>
      <c r="E469" s="1" t="s">
        <v>338</v>
      </c>
      <c r="F469" s="1" t="s">
        <v>5</v>
      </c>
      <c r="G469" s="18">
        <f>G468</f>
        <v>150000000</v>
      </c>
      <c r="L469" s="18">
        <v>100000</v>
      </c>
      <c r="M469" s="3">
        <v>2.7E-2</v>
      </c>
      <c r="N469" s="17" t="s">
        <v>335</v>
      </c>
      <c r="O469" s="3">
        <v>9.1000000000000004E-3</v>
      </c>
      <c r="Q469" s="5">
        <v>42509</v>
      </c>
      <c r="S469" s="4">
        <f>(Q469-B469)/365.24</f>
        <v>3.0829043916328986</v>
      </c>
    </row>
    <row r="470" spans="1:22">
      <c r="A470" s="1" t="s">
        <v>608</v>
      </c>
      <c r="B470" s="5">
        <v>40844</v>
      </c>
      <c r="C470" s="1" t="s">
        <v>607</v>
      </c>
      <c r="D470" s="19">
        <v>75612991</v>
      </c>
      <c r="E470" s="1" t="s">
        <v>338</v>
      </c>
      <c r="F470" s="1" t="s">
        <v>5</v>
      </c>
      <c r="G470" s="18">
        <v>100000000</v>
      </c>
      <c r="L470" s="18">
        <v>100000</v>
      </c>
      <c r="M470" s="3">
        <v>4.6300000000000001E-2</v>
      </c>
      <c r="N470" s="17" t="s">
        <v>335</v>
      </c>
      <c r="O470" s="3">
        <v>1.4999999999999999E-2</v>
      </c>
      <c r="Q470" s="5">
        <v>41940</v>
      </c>
      <c r="S470" s="4">
        <f>(Q470-B470)/365.24</f>
        <v>3.000766619209287</v>
      </c>
    </row>
    <row r="471" spans="1:22">
      <c r="A471" s="1" t="s">
        <v>606</v>
      </c>
      <c r="B471" s="5">
        <v>41353</v>
      </c>
      <c r="C471" s="1" t="s">
        <v>603</v>
      </c>
      <c r="D471" s="19">
        <v>276446000</v>
      </c>
      <c r="E471" s="1" t="s">
        <v>338</v>
      </c>
      <c r="F471" s="1" t="s">
        <v>5</v>
      </c>
      <c r="G471" s="18">
        <v>500000000</v>
      </c>
      <c r="L471" s="18">
        <f>L468</f>
        <v>1000000</v>
      </c>
      <c r="M471" s="3">
        <v>2.86E-2</v>
      </c>
      <c r="N471" s="17" t="s">
        <v>335</v>
      </c>
      <c r="O471" s="3">
        <v>9.4999999999999998E-3</v>
      </c>
      <c r="Q471" s="5">
        <v>42906</v>
      </c>
      <c r="S471" s="4">
        <f>(Q471-B471)/365.24</f>
        <v>4.2519986857956411</v>
      </c>
    </row>
    <row r="472" spans="1:22">
      <c r="A472" s="1" t="s">
        <v>605</v>
      </c>
      <c r="B472" s="5">
        <v>41445</v>
      </c>
      <c r="C472" s="1" t="s">
        <v>603</v>
      </c>
      <c r="D472" s="19">
        <v>276446000</v>
      </c>
      <c r="E472" s="1" t="s">
        <v>338</v>
      </c>
      <c r="F472" s="1" t="s">
        <v>5</v>
      </c>
      <c r="G472" s="18">
        <f>G471</f>
        <v>500000000</v>
      </c>
      <c r="L472" s="18">
        <f>L471</f>
        <v>1000000</v>
      </c>
      <c r="M472" s="3">
        <v>2.58E-2</v>
      </c>
      <c r="N472" s="17" t="s">
        <v>335</v>
      </c>
      <c r="O472" s="3">
        <v>8.6999999999999994E-3</v>
      </c>
      <c r="Q472" s="5">
        <v>43271</v>
      </c>
      <c r="S472" s="4">
        <f>(Q472-B472)/365.24</f>
        <v>4.9994524148505093</v>
      </c>
    </row>
    <row r="473" spans="1:22">
      <c r="A473" s="1" t="s">
        <v>604</v>
      </c>
      <c r="B473" s="5">
        <v>41250</v>
      </c>
      <c r="C473" s="1" t="s">
        <v>603</v>
      </c>
      <c r="D473" s="19">
        <v>263214000</v>
      </c>
      <c r="E473" s="1" t="s">
        <v>338</v>
      </c>
      <c r="F473" s="1" t="s">
        <v>5</v>
      </c>
      <c r="G473" s="18">
        <f>G472</f>
        <v>500000000</v>
      </c>
      <c r="L473" s="18">
        <f>L472</f>
        <v>1000000</v>
      </c>
      <c r="M473" s="3">
        <v>2.9499999999999998E-2</v>
      </c>
      <c r="N473" s="17" t="s">
        <v>335</v>
      </c>
      <c r="O473" s="3">
        <v>1.0699999999999999E-2</v>
      </c>
      <c r="Q473" s="5">
        <v>42528</v>
      </c>
      <c r="S473" s="4">
        <f>(Q473-B473)/365.24</f>
        <v>3.4990691052458658</v>
      </c>
    </row>
    <row r="474" spans="1:22">
      <c r="A474" s="1" t="s">
        <v>602</v>
      </c>
      <c r="B474" s="5">
        <v>41649</v>
      </c>
      <c r="C474" s="1" t="s">
        <v>591</v>
      </c>
      <c r="D474" s="19">
        <v>899800000</v>
      </c>
      <c r="E474" s="1" t="s">
        <v>338</v>
      </c>
      <c r="F474" s="1" t="s">
        <v>5</v>
      </c>
      <c r="G474" s="18">
        <f>G461</f>
        <v>1000000000</v>
      </c>
      <c r="L474" s="18">
        <f>L473</f>
        <v>1000000</v>
      </c>
      <c r="M474" s="3">
        <v>2.4299999999999999E-2</v>
      </c>
      <c r="N474" s="17" t="s">
        <v>335</v>
      </c>
      <c r="O474" s="3">
        <v>7.7999999999999996E-3</v>
      </c>
      <c r="Q474" s="5">
        <v>43475</v>
      </c>
      <c r="S474" s="4">
        <f>(Q474-B474)/365.24</f>
        <v>4.9994524148505093</v>
      </c>
    </row>
    <row r="475" spans="1:22">
      <c r="A475" s="1" t="s">
        <v>601</v>
      </c>
      <c r="B475" s="5">
        <v>41649</v>
      </c>
      <c r="C475" s="1" t="s">
        <v>591</v>
      </c>
      <c r="D475" s="19">
        <v>899800000</v>
      </c>
      <c r="E475" s="1" t="s">
        <v>338</v>
      </c>
      <c r="F475" s="1" t="s">
        <v>17</v>
      </c>
      <c r="G475" s="18">
        <f>G474</f>
        <v>1000000000</v>
      </c>
      <c r="L475" s="18">
        <f>L474</f>
        <v>1000000</v>
      </c>
      <c r="M475" s="3">
        <v>4.1000000000000002E-2</v>
      </c>
      <c r="Q475" s="5">
        <v>45301</v>
      </c>
      <c r="S475" s="4">
        <f>(Q475-B475)/365.24</f>
        <v>9.9989048297010186</v>
      </c>
    </row>
    <row r="476" spans="1:22">
      <c r="A476" s="1" t="s">
        <v>600</v>
      </c>
      <c r="B476" s="5">
        <v>41562</v>
      </c>
      <c r="C476" s="1" t="s">
        <v>591</v>
      </c>
      <c r="D476" s="19">
        <v>919600000</v>
      </c>
      <c r="E476" s="1" t="s">
        <v>338</v>
      </c>
      <c r="F476" s="1" t="s">
        <v>17</v>
      </c>
      <c r="G476" s="18">
        <f>G475</f>
        <v>1000000000</v>
      </c>
      <c r="L476" s="18">
        <f>L475</f>
        <v>1000000</v>
      </c>
      <c r="M476" s="3">
        <v>3.4200000000000001E-2</v>
      </c>
      <c r="Q476" s="5">
        <v>43266</v>
      </c>
      <c r="S476" s="4">
        <f>(Q476-B476)/365.24</f>
        <v>4.6654254736611538</v>
      </c>
    </row>
    <row r="477" spans="1:22">
      <c r="A477" s="1" t="s">
        <v>599</v>
      </c>
      <c r="B477" s="5">
        <v>41554</v>
      </c>
      <c r="C477" s="1" t="s">
        <v>591</v>
      </c>
      <c r="D477" s="19">
        <v>919600000</v>
      </c>
      <c r="E477" s="1" t="s">
        <v>338</v>
      </c>
      <c r="F477" s="1" t="s">
        <v>5</v>
      </c>
      <c r="G477" s="18">
        <f>G476</f>
        <v>1000000000</v>
      </c>
      <c r="L477" s="18">
        <f>L476</f>
        <v>1000000</v>
      </c>
      <c r="M477" s="3">
        <v>2.2800000000000001E-2</v>
      </c>
      <c r="N477" s="17" t="s">
        <v>335</v>
      </c>
      <c r="O477" s="3">
        <v>6.0000000000000001E-3</v>
      </c>
      <c r="Q477" s="5">
        <v>42620</v>
      </c>
      <c r="S477" s="4">
        <f>(Q477-B477)/365.24</f>
        <v>2.9186288467856749</v>
      </c>
    </row>
    <row r="478" spans="1:22">
      <c r="A478" s="1" t="s">
        <v>598</v>
      </c>
      <c r="B478" s="5">
        <v>41501</v>
      </c>
      <c r="C478" s="1" t="s">
        <v>591</v>
      </c>
      <c r="D478" s="19">
        <v>919600000</v>
      </c>
      <c r="E478" s="1" t="s">
        <v>338</v>
      </c>
      <c r="F478" s="1" t="s">
        <v>17</v>
      </c>
      <c r="G478" s="18">
        <f>G477</f>
        <v>1000000000</v>
      </c>
      <c r="L478" s="18">
        <f>L477</f>
        <v>1000000</v>
      </c>
      <c r="M478" s="3">
        <v>3.3000000000000002E-2</v>
      </c>
      <c r="Q478" s="5">
        <v>43327</v>
      </c>
      <c r="S478" s="4">
        <f>(Q478-B478)/365.24</f>
        <v>4.9994524148505093</v>
      </c>
    </row>
    <row r="479" spans="1:22">
      <c r="A479" s="1" t="s">
        <v>597</v>
      </c>
      <c r="B479" s="5">
        <v>41375</v>
      </c>
      <c r="C479" s="1" t="s">
        <v>591</v>
      </c>
      <c r="D479" s="19">
        <v>919600000</v>
      </c>
      <c r="E479" s="1" t="s">
        <v>338</v>
      </c>
      <c r="F479" s="1" t="s">
        <v>5</v>
      </c>
      <c r="G479" s="18">
        <v>200000000</v>
      </c>
      <c r="L479" s="18">
        <f>L478</f>
        <v>1000000</v>
      </c>
      <c r="M479" s="3">
        <v>4.0800000000000003E-2</v>
      </c>
      <c r="N479" s="17" t="s">
        <v>335</v>
      </c>
      <c r="O479" s="3">
        <v>2.23E-2</v>
      </c>
      <c r="Q479" s="5">
        <v>45027</v>
      </c>
      <c r="S479" s="4">
        <f>(Q479-B479)/365.24</f>
        <v>9.9989048297010186</v>
      </c>
      <c r="V479" s="1" t="s">
        <v>56</v>
      </c>
    </row>
    <row r="480" spans="1:22">
      <c r="A480" s="1" t="s">
        <v>596</v>
      </c>
      <c r="B480" s="5">
        <v>41290</v>
      </c>
      <c r="C480" s="1" t="s">
        <v>591</v>
      </c>
      <c r="D480" s="19">
        <v>919600000</v>
      </c>
      <c r="E480" s="1" t="s">
        <v>338</v>
      </c>
      <c r="F480" s="1" t="s">
        <v>5</v>
      </c>
      <c r="G480" s="18">
        <f>G478</f>
        <v>1000000000</v>
      </c>
      <c r="L480" s="18">
        <f>L479</f>
        <v>1000000</v>
      </c>
      <c r="M480" s="3">
        <v>3.8800000000000001E-2</v>
      </c>
      <c r="N480" s="17" t="s">
        <v>335</v>
      </c>
      <c r="O480" s="3">
        <v>1.03E-2</v>
      </c>
      <c r="Q480" s="5">
        <v>43116</v>
      </c>
      <c r="S480" s="4">
        <f>(Q480-B480)/365.24</f>
        <v>4.9994524148505093</v>
      </c>
    </row>
    <row r="481" spans="1:19">
      <c r="A481" s="1" t="s">
        <v>595</v>
      </c>
      <c r="B481" s="5">
        <v>41264</v>
      </c>
      <c r="C481" s="1" t="s">
        <v>591</v>
      </c>
      <c r="D481" s="19">
        <v>972200000</v>
      </c>
      <c r="E481" s="1" t="s">
        <v>338</v>
      </c>
      <c r="F481" s="1" t="s">
        <v>17</v>
      </c>
      <c r="G481" s="18">
        <f>G480</f>
        <v>1000000000</v>
      </c>
      <c r="L481" s="18">
        <f>L480</f>
        <v>1000000</v>
      </c>
      <c r="M481" s="3">
        <v>4.0899999999999999E-2</v>
      </c>
      <c r="Q481" s="5">
        <v>44186</v>
      </c>
      <c r="S481" s="4">
        <f>(Q481-B481)/365.24</f>
        <v>8.0002190340597963</v>
      </c>
    </row>
    <row r="482" spans="1:19">
      <c r="A482" s="1" t="s">
        <v>594</v>
      </c>
      <c r="B482" s="5">
        <v>41075</v>
      </c>
      <c r="C482" s="1" t="s">
        <v>591</v>
      </c>
      <c r="D482" s="19">
        <v>972200000</v>
      </c>
      <c r="E482" s="1" t="s">
        <v>338</v>
      </c>
      <c r="F482" s="1" t="s">
        <v>5</v>
      </c>
      <c r="G482" s="18">
        <f>G481</f>
        <v>1000000000</v>
      </c>
      <c r="L482" s="18">
        <f>L466</f>
        <v>500000</v>
      </c>
      <c r="M482" s="3">
        <v>3.8300000000000001E-2</v>
      </c>
      <c r="N482" s="17" t="s">
        <v>335</v>
      </c>
      <c r="O482" s="3">
        <v>1.4999999999999999E-2</v>
      </c>
      <c r="Q482" s="5">
        <v>42384</v>
      </c>
      <c r="S482" s="4">
        <f>(Q482-B482)/365.24</f>
        <v>3.5839448034169314</v>
      </c>
    </row>
    <row r="483" spans="1:19">
      <c r="A483" s="1" t="s">
        <v>593</v>
      </c>
      <c r="B483" s="5">
        <v>40893</v>
      </c>
      <c r="C483" s="1" t="s">
        <v>591</v>
      </c>
      <c r="D483" s="19">
        <v>903200000</v>
      </c>
      <c r="E483" s="1" t="s">
        <v>338</v>
      </c>
      <c r="F483" s="1" t="s">
        <v>17</v>
      </c>
      <c r="G483" s="18">
        <f>G482</f>
        <v>1000000000</v>
      </c>
      <c r="L483" s="18">
        <f>L482</f>
        <v>500000</v>
      </c>
      <c r="M483" s="3">
        <v>4.1000000000000002E-2</v>
      </c>
      <c r="Q483" s="5">
        <v>41989</v>
      </c>
      <c r="S483" s="4">
        <f>(Q483-B483)/365.24</f>
        <v>3.000766619209287</v>
      </c>
    </row>
    <row r="484" spans="1:19">
      <c r="A484" s="1" t="s">
        <v>592</v>
      </c>
      <c r="B484" s="5">
        <v>40827</v>
      </c>
      <c r="C484" s="1" t="s">
        <v>591</v>
      </c>
      <c r="D484" s="19">
        <v>903200000</v>
      </c>
      <c r="E484" s="1" t="s">
        <v>338</v>
      </c>
      <c r="F484" s="1" t="s">
        <v>17</v>
      </c>
      <c r="G484" s="18">
        <f>G483</f>
        <v>1000000000</v>
      </c>
      <c r="L484" s="18">
        <f>L483</f>
        <v>500000</v>
      </c>
      <c r="M484" s="3">
        <v>4.8500000000000001E-2</v>
      </c>
      <c r="Q484" s="5">
        <v>42836</v>
      </c>
      <c r="S484" s="4">
        <f>(Q484-B484)/365.24</f>
        <v>5.5004928266345416</v>
      </c>
    </row>
    <row r="485" spans="1:19">
      <c r="A485" s="1" t="s">
        <v>590</v>
      </c>
      <c r="B485" s="5">
        <v>40819</v>
      </c>
      <c r="C485" s="1" t="s">
        <v>117</v>
      </c>
      <c r="D485" s="19">
        <v>79911000</v>
      </c>
      <c r="E485" s="1" t="s">
        <v>338</v>
      </c>
      <c r="F485" s="1" t="s">
        <v>17</v>
      </c>
      <c r="G485" s="18">
        <f>G484</f>
        <v>1000000000</v>
      </c>
      <c r="L485" s="18">
        <f>L484</f>
        <v>500000</v>
      </c>
      <c r="M485" s="3">
        <v>3.5999999999999997E-2</v>
      </c>
      <c r="Q485" s="5">
        <v>42432</v>
      </c>
      <c r="R485" s="5">
        <v>42797</v>
      </c>
      <c r="S485" s="4">
        <f>(Q485-B485)/365.24</f>
        <v>4.4162742306428653</v>
      </c>
    </row>
    <row r="486" spans="1:19">
      <c r="A486" s="1" t="s">
        <v>589</v>
      </c>
      <c r="B486" s="5">
        <v>40777</v>
      </c>
      <c r="C486" s="1" t="s">
        <v>117</v>
      </c>
      <c r="D486" s="19">
        <v>79911000</v>
      </c>
      <c r="E486" s="1" t="s">
        <v>338</v>
      </c>
      <c r="F486" s="1" t="s">
        <v>33</v>
      </c>
      <c r="G486" s="18">
        <f>G485</f>
        <v>1000000000</v>
      </c>
      <c r="L486" s="18">
        <f>L485</f>
        <v>500000</v>
      </c>
      <c r="M486" s="3">
        <v>3.5999999999999997E-2</v>
      </c>
      <c r="N486" s="17" t="s">
        <v>335</v>
      </c>
      <c r="O486" s="3">
        <v>5.4999999999999997E-3</v>
      </c>
      <c r="Q486" s="5">
        <v>43153</v>
      </c>
      <c r="R486" s="5">
        <v>43518</v>
      </c>
      <c r="S486" s="4">
        <f>(Q486-B486)/365.24</f>
        <v>6.5053115759500599</v>
      </c>
    </row>
    <row r="487" spans="1:19">
      <c r="A487" s="1" t="s">
        <v>588</v>
      </c>
      <c r="B487" s="5">
        <v>40618</v>
      </c>
      <c r="C487" s="1" t="s">
        <v>117</v>
      </c>
      <c r="D487" s="19">
        <v>79911000</v>
      </c>
      <c r="E487" s="1" t="s">
        <v>338</v>
      </c>
      <c r="F487" s="1" t="s">
        <v>33</v>
      </c>
      <c r="G487" s="18">
        <f>G486</f>
        <v>1000000000</v>
      </c>
      <c r="L487" s="18">
        <f>L481</f>
        <v>1000000</v>
      </c>
      <c r="M487" s="3">
        <v>3.1699999999999999E-2</v>
      </c>
      <c r="N487" s="17" t="s">
        <v>335</v>
      </c>
      <c r="O487" s="3">
        <v>6.0000000000000001E-3</v>
      </c>
      <c r="Q487" s="5">
        <v>42809</v>
      </c>
      <c r="R487" s="5">
        <v>43180</v>
      </c>
      <c r="S487" s="4">
        <f>(Q487-B487)/365.24</f>
        <v>5.9987953126711204</v>
      </c>
    </row>
    <row r="488" spans="1:19">
      <c r="A488" s="1" t="s">
        <v>587</v>
      </c>
      <c r="B488" s="5">
        <v>41704</v>
      </c>
      <c r="C488" s="1" t="s">
        <v>584</v>
      </c>
      <c r="D488" s="19">
        <v>4682822000</v>
      </c>
      <c r="E488" s="1" t="s">
        <v>338</v>
      </c>
      <c r="F488" s="1" t="s">
        <v>5</v>
      </c>
      <c r="G488" s="18">
        <v>750000000</v>
      </c>
      <c r="L488" s="18">
        <f>L487</f>
        <v>1000000</v>
      </c>
      <c r="M488" s="3">
        <v>2.1299999999999999E-2</v>
      </c>
      <c r="N488" s="17" t="s">
        <v>335</v>
      </c>
      <c r="O488" s="3">
        <v>4.1999999999999997E-3</v>
      </c>
      <c r="Q488" s="5">
        <v>42436</v>
      </c>
      <c r="S488" s="4">
        <f>(Q488-B488)/365.24</f>
        <v>2.0041616471361294</v>
      </c>
    </row>
    <row r="489" spans="1:19">
      <c r="A489" s="1" t="s">
        <v>586</v>
      </c>
      <c r="B489" s="5">
        <v>41421</v>
      </c>
      <c r="C489" s="1" t="s">
        <v>584</v>
      </c>
      <c r="D489" s="19">
        <v>5031867000</v>
      </c>
      <c r="E489" s="1" t="s">
        <v>338</v>
      </c>
      <c r="F489" s="1" t="s">
        <v>5</v>
      </c>
      <c r="G489" s="18">
        <f>G487</f>
        <v>1000000000</v>
      </c>
      <c r="L489" s="18">
        <f>L488</f>
        <v>1000000</v>
      </c>
      <c r="M489" s="3">
        <v>2.4199999999999999E-2</v>
      </c>
      <c r="N489" s="17" t="s">
        <v>335</v>
      </c>
      <c r="O489" s="3">
        <v>6.4999999999999997E-3</v>
      </c>
      <c r="Q489" s="5">
        <v>42151</v>
      </c>
      <c r="S489" s="4">
        <f>(Q489-B489)/365.24</f>
        <v>1.9986857956412221</v>
      </c>
    </row>
    <row r="490" spans="1:19">
      <c r="A490" s="1" t="s">
        <v>585</v>
      </c>
      <c r="B490" s="5">
        <v>41263</v>
      </c>
      <c r="C490" s="1" t="s">
        <v>584</v>
      </c>
      <c r="D490" s="19">
        <v>4056168000</v>
      </c>
      <c r="E490" s="1" t="s">
        <v>338</v>
      </c>
      <c r="F490" s="1" t="s">
        <v>5</v>
      </c>
      <c r="G490" s="18">
        <f>G489</f>
        <v>1000000000</v>
      </c>
      <c r="L490" s="18">
        <f>L489</f>
        <v>1000000</v>
      </c>
      <c r="M490" s="3">
        <v>2.4799999999999999E-2</v>
      </c>
      <c r="N490" s="17" t="s">
        <v>335</v>
      </c>
      <c r="O490" s="3">
        <v>6.4999999999999997E-3</v>
      </c>
      <c r="Q490" s="5">
        <v>41810</v>
      </c>
      <c r="S490" s="4">
        <f>(Q490-B490)/365.24</f>
        <v>1.4976453838571897</v>
      </c>
    </row>
    <row r="491" spans="1:19">
      <c r="A491" s="1" t="s">
        <v>583</v>
      </c>
      <c r="B491" s="5">
        <v>41575</v>
      </c>
      <c r="C491" s="1" t="s">
        <v>573</v>
      </c>
      <c r="D491" s="19">
        <v>396279000</v>
      </c>
      <c r="E491" s="1" t="s">
        <v>338</v>
      </c>
      <c r="F491" s="1" t="s">
        <v>17</v>
      </c>
      <c r="G491" s="18">
        <f>G490</f>
        <v>1000000000</v>
      </c>
      <c r="L491" s="18">
        <f>L490</f>
        <v>1000000</v>
      </c>
      <c r="M491" s="3">
        <v>0.04</v>
      </c>
      <c r="Q491" s="5">
        <v>44314</v>
      </c>
      <c r="S491" s="4">
        <f>(Q491-B491)/365.24</f>
        <v>7.4991786222757639</v>
      </c>
    </row>
    <row r="492" spans="1:19">
      <c r="A492" s="1" t="s">
        <v>582</v>
      </c>
      <c r="B492" s="5">
        <v>41381</v>
      </c>
      <c r="C492" s="1" t="s">
        <v>573</v>
      </c>
      <c r="D492" s="19">
        <v>396279000</v>
      </c>
      <c r="E492" s="1" t="s">
        <v>338</v>
      </c>
      <c r="F492" s="1" t="s">
        <v>17</v>
      </c>
      <c r="G492" s="18">
        <f>G491</f>
        <v>1000000000</v>
      </c>
      <c r="L492" s="18">
        <f>L486</f>
        <v>500000</v>
      </c>
      <c r="M492" s="3">
        <v>3.4000000000000002E-2</v>
      </c>
      <c r="Q492" s="5">
        <v>43633</v>
      </c>
      <c r="S492" s="4">
        <f>(Q492-B492)/365.24</f>
        <v>6.1658087832657973</v>
      </c>
    </row>
    <row r="493" spans="1:19">
      <c r="A493" s="1" t="s">
        <v>581</v>
      </c>
      <c r="B493" s="5">
        <v>41071</v>
      </c>
      <c r="C493" s="1" t="s">
        <v>573</v>
      </c>
      <c r="D493" s="19">
        <v>277983000</v>
      </c>
      <c r="E493" s="1" t="s">
        <v>338</v>
      </c>
      <c r="F493" s="1" t="s">
        <v>17</v>
      </c>
      <c r="G493" s="18">
        <f>G492</f>
        <v>1000000000</v>
      </c>
      <c r="L493" s="18">
        <f>L492</f>
        <v>500000</v>
      </c>
      <c r="M493" s="3">
        <v>4.65E-2</v>
      </c>
      <c r="Q493" s="5">
        <v>43231</v>
      </c>
      <c r="S493" s="4">
        <f>(Q493-B493)/365.24</f>
        <v>5.9139196145000543</v>
      </c>
    </row>
    <row r="494" spans="1:19">
      <c r="A494" s="1" t="s">
        <v>580</v>
      </c>
      <c r="B494" s="5">
        <v>40934</v>
      </c>
      <c r="C494" s="1" t="s">
        <v>573</v>
      </c>
      <c r="D494" s="19">
        <v>277983000</v>
      </c>
      <c r="E494" s="1" t="s">
        <v>338</v>
      </c>
      <c r="F494" s="1" t="s">
        <v>17</v>
      </c>
      <c r="G494" s="18">
        <f>G493</f>
        <v>1000000000</v>
      </c>
      <c r="L494" s="18">
        <f>L493</f>
        <v>500000</v>
      </c>
      <c r="M494" s="3">
        <v>4.9500000000000002E-2</v>
      </c>
      <c r="Q494" s="5">
        <v>43126</v>
      </c>
      <c r="S494" s="4">
        <f>(Q494-B494)/365.24</f>
        <v>6.001533238418574</v>
      </c>
    </row>
    <row r="495" spans="1:19">
      <c r="A495" s="1" t="s">
        <v>579</v>
      </c>
      <c r="B495" s="5">
        <v>40924</v>
      </c>
      <c r="C495" s="1" t="s">
        <v>573</v>
      </c>
      <c r="D495" s="19">
        <v>277983000</v>
      </c>
      <c r="E495" s="1" t="s">
        <v>338</v>
      </c>
      <c r="F495" s="1" t="s">
        <v>5</v>
      </c>
      <c r="G495" s="18">
        <f>G494</f>
        <v>1000000000</v>
      </c>
      <c r="L495" s="18">
        <f>L494</f>
        <v>500000</v>
      </c>
      <c r="N495" s="17" t="s">
        <v>335</v>
      </c>
      <c r="O495" s="3">
        <v>1.9E-2</v>
      </c>
      <c r="Q495" s="5">
        <v>42810</v>
      </c>
      <c r="S495" s="4">
        <f>(Q495-B495)/365.24</f>
        <v>5.1637279596977326</v>
      </c>
    </row>
    <row r="496" spans="1:19">
      <c r="A496" s="1" t="s">
        <v>578</v>
      </c>
      <c r="B496" s="5">
        <v>40870</v>
      </c>
      <c r="C496" s="1" t="s">
        <v>573</v>
      </c>
      <c r="D496" s="19">
        <v>216571000</v>
      </c>
      <c r="E496" s="1" t="s">
        <v>338</v>
      </c>
      <c r="F496" s="1" t="s">
        <v>17</v>
      </c>
      <c r="G496" s="18">
        <f>G495</f>
        <v>1000000000</v>
      </c>
      <c r="L496" s="18">
        <f>L495</f>
        <v>500000</v>
      </c>
      <c r="M496" s="3">
        <v>4.2999999999999997E-2</v>
      </c>
      <c r="Q496" s="5">
        <v>42331</v>
      </c>
      <c r="S496" s="4">
        <f>(Q496-B496)/365.24</f>
        <v>4.0001095170298981</v>
      </c>
    </row>
    <row r="497" spans="1:22">
      <c r="A497" s="1" t="s">
        <v>577</v>
      </c>
      <c r="B497" s="5">
        <v>40791</v>
      </c>
      <c r="C497" s="1" t="s">
        <v>573</v>
      </c>
      <c r="D497" s="19">
        <v>216571000</v>
      </c>
      <c r="E497" s="1" t="s">
        <v>338</v>
      </c>
      <c r="F497" s="1" t="s">
        <v>5</v>
      </c>
      <c r="G497" s="18">
        <v>900000000</v>
      </c>
      <c r="L497" s="18">
        <f>L496</f>
        <v>500000</v>
      </c>
      <c r="M497" s="3">
        <v>4.5199999999999997E-2</v>
      </c>
      <c r="N497" s="17" t="s">
        <v>335</v>
      </c>
      <c r="O497" s="3">
        <v>1.4E-2</v>
      </c>
      <c r="Q497" s="5">
        <v>42618</v>
      </c>
      <c r="S497" s="4">
        <f>(Q497-B497)/365.24</f>
        <v>5.0021903405979629</v>
      </c>
    </row>
    <row r="498" spans="1:22">
      <c r="A498" s="1" t="s">
        <v>576</v>
      </c>
      <c r="B498" s="5">
        <v>40606</v>
      </c>
      <c r="C498" s="1" t="s">
        <v>573</v>
      </c>
      <c r="D498" s="19">
        <v>216571000</v>
      </c>
      <c r="E498" s="1" t="s">
        <v>338</v>
      </c>
      <c r="F498" s="1" t="s">
        <v>17</v>
      </c>
      <c r="G498" s="18">
        <f>G497</f>
        <v>900000000</v>
      </c>
      <c r="L498" s="18">
        <f>L497</f>
        <v>500000</v>
      </c>
      <c r="M498" s="3">
        <v>0.05</v>
      </c>
      <c r="Q498" s="5">
        <v>42153</v>
      </c>
      <c r="S498" s="4">
        <f>(Q498-B498)/365.24</f>
        <v>4.2355711313109188</v>
      </c>
    </row>
    <row r="499" spans="1:22">
      <c r="A499" s="1" t="s">
        <v>575</v>
      </c>
      <c r="B499" s="5">
        <v>40571</v>
      </c>
      <c r="C499" s="1" t="s">
        <v>573</v>
      </c>
      <c r="D499" s="19">
        <v>216571000</v>
      </c>
      <c r="E499" s="1" t="s">
        <v>338</v>
      </c>
      <c r="F499" s="1" t="s">
        <v>5</v>
      </c>
      <c r="G499" s="18">
        <f>G498</f>
        <v>900000000</v>
      </c>
      <c r="L499" s="18">
        <f>L498</f>
        <v>500000</v>
      </c>
      <c r="M499" s="3">
        <v>3.3599999999999998E-2</v>
      </c>
      <c r="N499" s="17" t="s">
        <v>335</v>
      </c>
      <c r="O499" s="3">
        <v>8.0000000000000002E-3</v>
      </c>
      <c r="Q499" s="5">
        <v>41779</v>
      </c>
      <c r="S499" s="4">
        <f>(Q499-B499)/365.24</f>
        <v>3.3074143029241045</v>
      </c>
    </row>
    <row r="500" spans="1:22">
      <c r="A500" s="1" t="s">
        <v>574</v>
      </c>
      <c r="B500" s="5">
        <v>40563</v>
      </c>
      <c r="C500" s="1" t="s">
        <v>573</v>
      </c>
      <c r="D500" s="19">
        <v>216571000</v>
      </c>
      <c r="E500" s="1" t="s">
        <v>338</v>
      </c>
      <c r="F500" s="1" t="s">
        <v>17</v>
      </c>
      <c r="G500" s="18">
        <f>G499</f>
        <v>900000000</v>
      </c>
      <c r="L500" s="18">
        <f>L499</f>
        <v>500000</v>
      </c>
      <c r="M500" s="3">
        <v>0.05</v>
      </c>
      <c r="Q500" s="5">
        <v>42755</v>
      </c>
      <c r="S500" s="4">
        <f>(Q500-B500)/365.24</f>
        <v>6.001533238418574</v>
      </c>
    </row>
    <row r="501" spans="1:22">
      <c r="A501" s="1" t="s">
        <v>572</v>
      </c>
      <c r="B501" s="5">
        <v>41662</v>
      </c>
      <c r="C501" s="1" t="s">
        <v>567</v>
      </c>
      <c r="D501" s="19">
        <v>143297235</v>
      </c>
      <c r="E501" s="1" t="s">
        <v>338</v>
      </c>
      <c r="F501" s="1" t="s">
        <v>5</v>
      </c>
      <c r="G501" s="18">
        <v>200000000</v>
      </c>
      <c r="L501" s="18">
        <f>L491</f>
        <v>1000000</v>
      </c>
      <c r="M501" s="3">
        <v>2.4E-2</v>
      </c>
      <c r="N501" s="17" t="s">
        <v>335</v>
      </c>
      <c r="O501" s="3">
        <v>7.4999999999999997E-3</v>
      </c>
      <c r="Q501" s="5">
        <v>42758</v>
      </c>
      <c r="S501" s="4">
        <f>(Q501-B501)/365.24</f>
        <v>3.000766619209287</v>
      </c>
    </row>
    <row r="502" spans="1:22">
      <c r="A502" s="1" t="s">
        <v>571</v>
      </c>
      <c r="B502" s="5">
        <v>41444</v>
      </c>
      <c r="C502" s="1" t="s">
        <v>567</v>
      </c>
      <c r="D502" s="19">
        <v>139243882</v>
      </c>
      <c r="E502" s="1" t="s">
        <v>338</v>
      </c>
      <c r="F502" s="1" t="s">
        <v>5</v>
      </c>
      <c r="G502" s="18">
        <f>G501</f>
        <v>200000000</v>
      </c>
      <c r="L502" s="18">
        <f>L501</f>
        <v>1000000</v>
      </c>
      <c r="M502" s="3">
        <v>2.6599999999999999E-2</v>
      </c>
      <c r="N502" s="17" t="s">
        <v>335</v>
      </c>
      <c r="O502" s="3">
        <v>8.9999999999999993E-3</v>
      </c>
      <c r="Q502" s="5">
        <v>42632</v>
      </c>
      <c r="S502" s="4">
        <f>(Q502-B502)/365.24</f>
        <v>3.25265578797503</v>
      </c>
    </row>
    <row r="503" spans="1:22">
      <c r="A503" s="1" t="s">
        <v>570</v>
      </c>
      <c r="B503" s="5">
        <v>41296</v>
      </c>
      <c r="C503" s="1" t="s">
        <v>567</v>
      </c>
      <c r="D503" s="19">
        <v>139243882</v>
      </c>
      <c r="E503" s="1" t="s">
        <v>338</v>
      </c>
      <c r="F503" s="1" t="s">
        <v>5</v>
      </c>
      <c r="G503" s="18">
        <f>G502</f>
        <v>200000000</v>
      </c>
      <c r="L503" s="18">
        <f>L502</f>
        <v>1000000</v>
      </c>
      <c r="M503" s="3">
        <v>2.7900000000000001E-2</v>
      </c>
      <c r="N503" s="17" t="s">
        <v>335</v>
      </c>
      <c r="O503" s="3">
        <v>9.2999999999999992E-3</v>
      </c>
      <c r="Q503" s="5">
        <v>42391</v>
      </c>
      <c r="S503" s="4">
        <f>(Q503-B503)/365.24</f>
        <v>2.9980286934618334</v>
      </c>
    </row>
    <row r="504" spans="1:22">
      <c r="A504" s="1" t="s">
        <v>569</v>
      </c>
      <c r="B504" s="5">
        <v>41143</v>
      </c>
      <c r="C504" s="1" t="s">
        <v>567</v>
      </c>
      <c r="D504" s="19">
        <v>124405353</v>
      </c>
      <c r="E504" s="1" t="s">
        <v>338</v>
      </c>
      <c r="F504" s="1" t="s">
        <v>5</v>
      </c>
      <c r="G504" s="18">
        <f>G503</f>
        <v>200000000</v>
      </c>
      <c r="L504" s="18">
        <f>L499</f>
        <v>500000</v>
      </c>
      <c r="M504" s="3">
        <v>3.4500000000000003E-2</v>
      </c>
      <c r="N504" s="17" t="s">
        <v>335</v>
      </c>
      <c r="O504" s="3">
        <v>1.4E-2</v>
      </c>
      <c r="Q504" s="5">
        <v>42240</v>
      </c>
      <c r="S504" s="4">
        <f>(Q504-B504)/365.24</f>
        <v>3.0035045449567406</v>
      </c>
    </row>
    <row r="505" spans="1:22">
      <c r="A505" s="1" t="s">
        <v>568</v>
      </c>
      <c r="B505" s="5">
        <v>41087</v>
      </c>
      <c r="C505" s="1" t="s">
        <v>567</v>
      </c>
      <c r="D505" s="19">
        <v>124405353</v>
      </c>
      <c r="E505" s="1" t="s">
        <v>338</v>
      </c>
      <c r="F505" s="1" t="s">
        <v>5</v>
      </c>
      <c r="G505" s="18">
        <f>G504</f>
        <v>200000000</v>
      </c>
      <c r="L505" s="18">
        <f>L504</f>
        <v>500000</v>
      </c>
      <c r="M505" s="3">
        <v>3.7600000000000001E-2</v>
      </c>
      <c r="N505" s="17" t="s">
        <v>335</v>
      </c>
      <c r="O505" s="3">
        <v>1.43E-2</v>
      </c>
      <c r="Q505" s="5">
        <v>42024</v>
      </c>
      <c r="S505" s="4">
        <f>(Q505-B505)/365.24</f>
        <v>2.565436425364144</v>
      </c>
    </row>
    <row r="506" spans="1:22">
      <c r="A506" s="1" t="s">
        <v>566</v>
      </c>
      <c r="B506" s="5">
        <v>41599</v>
      </c>
      <c r="C506" s="1" t="s">
        <v>556</v>
      </c>
      <c r="D506" s="19">
        <v>538430000</v>
      </c>
      <c r="E506" s="1" t="s">
        <v>338</v>
      </c>
      <c r="F506" s="1" t="s">
        <v>5</v>
      </c>
      <c r="G506" s="18">
        <f>G496</f>
        <v>1000000000</v>
      </c>
      <c r="L506" s="18">
        <f>L505</f>
        <v>500000</v>
      </c>
      <c r="M506" s="3">
        <v>2.5000000000000001E-2</v>
      </c>
      <c r="N506" s="17" t="s">
        <v>335</v>
      </c>
      <c r="O506" s="3">
        <v>8.6E-3</v>
      </c>
      <c r="Q506" s="5">
        <v>43425</v>
      </c>
      <c r="S506" s="4">
        <f>(Q506-B506)/365.24</f>
        <v>4.9994524148505093</v>
      </c>
    </row>
    <row r="507" spans="1:22">
      <c r="A507" s="1" t="s">
        <v>565</v>
      </c>
      <c r="B507" s="5">
        <v>41564</v>
      </c>
      <c r="C507" s="1" t="s">
        <v>556</v>
      </c>
      <c r="D507" s="19">
        <v>538430000</v>
      </c>
      <c r="E507" s="1" t="s">
        <v>338</v>
      </c>
      <c r="F507" s="29" t="s">
        <v>564</v>
      </c>
      <c r="G507" s="18">
        <v>150000000</v>
      </c>
      <c r="L507" s="18">
        <v>100000</v>
      </c>
      <c r="M507" s="3">
        <v>5.3499999999999999E-2</v>
      </c>
      <c r="N507" s="17" t="s">
        <v>335</v>
      </c>
      <c r="O507" s="3">
        <v>3.6499999999999998E-2</v>
      </c>
      <c r="Q507" s="1" t="s">
        <v>563</v>
      </c>
      <c r="S507" s="4" t="e">
        <f>(Q507-B507)/365.24</f>
        <v>#VALUE!</v>
      </c>
      <c r="V507" s="1" t="s">
        <v>56</v>
      </c>
    </row>
    <row r="508" spans="1:22">
      <c r="A508" s="1" t="s">
        <v>562</v>
      </c>
      <c r="B508" s="5">
        <v>41423</v>
      </c>
      <c r="C508" s="1" t="s">
        <v>556</v>
      </c>
      <c r="D508" s="19">
        <v>538430000</v>
      </c>
      <c r="E508" s="1" t="s">
        <v>338</v>
      </c>
      <c r="F508" s="1" t="s">
        <v>5</v>
      </c>
      <c r="G508" s="18">
        <f>G507</f>
        <v>150000000</v>
      </c>
      <c r="L508" s="18">
        <f>L507</f>
        <v>100000</v>
      </c>
      <c r="M508" s="3">
        <v>3.7699999999999997E-2</v>
      </c>
      <c r="N508" s="17" t="s">
        <v>335</v>
      </c>
      <c r="O508" s="3">
        <v>0.02</v>
      </c>
      <c r="Q508" s="5">
        <v>45076</v>
      </c>
      <c r="S508" s="4">
        <f>(Q508-B508)/365.24</f>
        <v>10.001642755448472</v>
      </c>
      <c r="V508" s="1" t="s">
        <v>56</v>
      </c>
    </row>
    <row r="509" spans="1:22">
      <c r="A509" s="1" t="s">
        <v>561</v>
      </c>
      <c r="B509" s="5">
        <v>41452</v>
      </c>
      <c r="C509" s="1" t="s">
        <v>556</v>
      </c>
      <c r="D509" s="19">
        <v>538430000</v>
      </c>
      <c r="E509" s="1" t="s">
        <v>338</v>
      </c>
      <c r="F509" s="1" t="s">
        <v>5</v>
      </c>
      <c r="G509" s="18">
        <f>G506</f>
        <v>1000000000</v>
      </c>
      <c r="L509" s="18">
        <f>L508</f>
        <v>100000</v>
      </c>
      <c r="M509" s="3">
        <v>2.3300000000000001E-2</v>
      </c>
      <c r="N509" s="17" t="s">
        <v>335</v>
      </c>
      <c r="O509" s="3">
        <v>6.4000000000000003E-3</v>
      </c>
      <c r="Q509" s="5">
        <v>42548</v>
      </c>
      <c r="S509" s="4">
        <f>(Q509-B509)/365.24</f>
        <v>3.000766619209287</v>
      </c>
    </row>
    <row r="510" spans="1:22">
      <c r="A510" s="1" t="s">
        <v>560</v>
      </c>
      <c r="B510" s="5">
        <v>41348</v>
      </c>
      <c r="C510" s="1" t="s">
        <v>556</v>
      </c>
      <c r="D510" s="19">
        <v>538430000</v>
      </c>
      <c r="E510" s="1" t="s">
        <v>338</v>
      </c>
      <c r="F510" s="1" t="s">
        <v>5</v>
      </c>
      <c r="G510" s="18">
        <f>G509</f>
        <v>1000000000</v>
      </c>
      <c r="L510" s="18">
        <f>L491</f>
        <v>1000000</v>
      </c>
      <c r="M510" s="3">
        <v>2.6800000000000001E-2</v>
      </c>
      <c r="N510" s="17" t="s">
        <v>335</v>
      </c>
      <c r="O510" s="3">
        <v>8.6E-3</v>
      </c>
      <c r="Q510" s="5">
        <v>42870</v>
      </c>
      <c r="S510" s="4">
        <f>(Q510-B510)/365.24</f>
        <v>4.1671229876245759</v>
      </c>
    </row>
    <row r="511" spans="1:22">
      <c r="A511" s="1" t="s">
        <v>559</v>
      </c>
      <c r="B511" s="5">
        <v>41292</v>
      </c>
      <c r="C511" s="1" t="s">
        <v>556</v>
      </c>
      <c r="D511" s="19">
        <v>538430000</v>
      </c>
      <c r="E511" s="1" t="s">
        <v>338</v>
      </c>
      <c r="F511" s="1" t="s">
        <v>5</v>
      </c>
      <c r="G511" s="18">
        <f>G510</f>
        <v>1000000000</v>
      </c>
      <c r="L511" s="18">
        <f>L510</f>
        <v>1000000</v>
      </c>
      <c r="M511" s="3">
        <v>2.9000000000000001E-2</v>
      </c>
      <c r="N511" s="17" t="s">
        <v>335</v>
      </c>
      <c r="O511" s="3">
        <v>1.0500000000000001E-2</v>
      </c>
      <c r="Q511" s="5">
        <v>43118</v>
      </c>
      <c r="S511" s="4">
        <f>(Q511-B511)/365.24</f>
        <v>4.9994524148505093</v>
      </c>
    </row>
    <row r="512" spans="1:22">
      <c r="A512" s="1" t="s">
        <v>558</v>
      </c>
      <c r="B512" s="5">
        <v>41172</v>
      </c>
      <c r="C512" s="1" t="s">
        <v>556</v>
      </c>
      <c r="D512" s="19">
        <v>411142000</v>
      </c>
      <c r="E512" s="1" t="s">
        <v>338</v>
      </c>
      <c r="F512" s="1" t="s">
        <v>5</v>
      </c>
      <c r="G512" s="18">
        <f>G511</f>
        <v>1000000000</v>
      </c>
      <c r="L512" s="18">
        <f>L509</f>
        <v>100000</v>
      </c>
      <c r="M512" s="3">
        <v>2.9000000000000001E-2</v>
      </c>
      <c r="N512" s="17" t="s">
        <v>335</v>
      </c>
      <c r="O512" s="3">
        <v>9.7999999999999997E-3</v>
      </c>
      <c r="Q512" s="5">
        <v>42265</v>
      </c>
      <c r="S512" s="4">
        <f>(Q512-B512)/365.24</f>
        <v>2.9925528419669258</v>
      </c>
    </row>
    <row r="513" spans="1:19">
      <c r="A513" s="1" t="s">
        <v>557</v>
      </c>
      <c r="B513" s="5">
        <v>41172</v>
      </c>
      <c r="C513" s="1" t="s">
        <v>556</v>
      </c>
      <c r="D513" s="19">
        <v>411142000</v>
      </c>
      <c r="E513" s="1" t="s">
        <v>338</v>
      </c>
      <c r="F513" s="1" t="s">
        <v>5</v>
      </c>
      <c r="G513" s="18">
        <f>G512</f>
        <v>1000000000</v>
      </c>
      <c r="L513" s="18">
        <f>L512</f>
        <v>100000</v>
      </c>
      <c r="M513" s="3">
        <v>3.1199999999999999E-2</v>
      </c>
      <c r="N513" s="17" t="s">
        <v>335</v>
      </c>
      <c r="O513" s="3">
        <v>1.2E-2</v>
      </c>
      <c r="Q513" s="5">
        <v>42633</v>
      </c>
      <c r="S513" s="4">
        <f>(Q513-B513)/365.24</f>
        <v>4.0001095170298981</v>
      </c>
    </row>
    <row r="514" spans="1:19">
      <c r="A514" s="1" t="s">
        <v>555</v>
      </c>
      <c r="B514" s="5">
        <v>41437</v>
      </c>
      <c r="C514" s="20" t="s">
        <v>553</v>
      </c>
      <c r="D514" s="19"/>
      <c r="E514" s="1" t="s">
        <v>338</v>
      </c>
      <c r="F514" s="1" t="s">
        <v>5</v>
      </c>
      <c r="G514" s="18">
        <f>G513</f>
        <v>1000000000</v>
      </c>
      <c r="L514" s="18">
        <f>L511</f>
        <v>1000000</v>
      </c>
      <c r="M514" s="3">
        <v>5.2600000000000001E-2</v>
      </c>
      <c r="N514" s="17" t="s">
        <v>335</v>
      </c>
      <c r="O514" s="3">
        <v>3.5000000000000003E-2</v>
      </c>
      <c r="Q514" s="5">
        <v>43263</v>
      </c>
      <c r="S514" s="4">
        <f>(Q514-B514)/365.24</f>
        <v>4.9994524148505093</v>
      </c>
    </row>
    <row r="515" spans="1:19">
      <c r="A515" s="1" t="s">
        <v>554</v>
      </c>
      <c r="B515" s="5">
        <v>40702</v>
      </c>
      <c r="C515" s="20" t="s">
        <v>553</v>
      </c>
      <c r="D515" s="19"/>
      <c r="E515" s="1" t="s">
        <v>338</v>
      </c>
      <c r="F515" s="1" t="s">
        <v>5</v>
      </c>
      <c r="G515" s="18">
        <f>G514</f>
        <v>1000000000</v>
      </c>
      <c r="L515" s="18">
        <f>L514</f>
        <v>1000000</v>
      </c>
      <c r="M515" s="3">
        <v>5.79E-2</v>
      </c>
      <c r="N515" s="17" t="s">
        <v>335</v>
      </c>
      <c r="O515" s="3">
        <v>0.03</v>
      </c>
      <c r="Q515" s="5">
        <v>42529</v>
      </c>
      <c r="S515" s="4">
        <f>(Q515-B515)/365.24</f>
        <v>5.0021903405979629</v>
      </c>
    </row>
    <row r="516" spans="1:19">
      <c r="A516" s="1" t="s">
        <v>552</v>
      </c>
      <c r="B516" s="5">
        <v>41652</v>
      </c>
      <c r="C516" s="1" t="s">
        <v>551</v>
      </c>
      <c r="D516" s="19">
        <v>273680000</v>
      </c>
      <c r="E516" s="1" t="s">
        <v>338</v>
      </c>
      <c r="F516" s="1" t="s">
        <v>5</v>
      </c>
      <c r="G516" s="18">
        <v>300000000</v>
      </c>
      <c r="L516" s="18">
        <f>L515</f>
        <v>1000000</v>
      </c>
      <c r="M516" s="3">
        <v>2.3699999999999999E-2</v>
      </c>
      <c r="N516" s="17" t="s">
        <v>335</v>
      </c>
      <c r="O516" s="3">
        <v>7.1999999999999998E-3</v>
      </c>
      <c r="Q516" s="5">
        <v>42748</v>
      </c>
      <c r="S516" s="4">
        <f>(Q516-B516)/365.24</f>
        <v>3.000766619209287</v>
      </c>
    </row>
    <row r="517" spans="1:19">
      <c r="A517" s="1" t="s">
        <v>550</v>
      </c>
      <c r="B517" s="5">
        <v>41677</v>
      </c>
      <c r="C517" s="1" t="s">
        <v>549</v>
      </c>
      <c r="D517" s="19"/>
      <c r="E517" s="1" t="s">
        <v>25</v>
      </c>
      <c r="F517" s="1" t="s">
        <v>5</v>
      </c>
      <c r="G517" s="18">
        <v>600000000</v>
      </c>
      <c r="L517" s="18">
        <f>L516</f>
        <v>1000000</v>
      </c>
      <c r="M517" s="3">
        <v>2.4400000000000002E-2</v>
      </c>
      <c r="N517" s="17" t="s">
        <v>335</v>
      </c>
      <c r="O517" s="3">
        <v>7.4999999999999997E-3</v>
      </c>
      <c r="Q517" s="5">
        <v>43503</v>
      </c>
      <c r="S517" s="4">
        <f>(Q517-B517)/365.24</f>
        <v>4.9994524148505093</v>
      </c>
    </row>
    <row r="518" spans="1:19">
      <c r="A518" s="1" t="s">
        <v>548</v>
      </c>
      <c r="B518" s="5">
        <v>41257</v>
      </c>
      <c r="C518" s="1" t="s">
        <v>546</v>
      </c>
      <c r="D518" s="19">
        <v>723937000</v>
      </c>
      <c r="E518" s="1" t="s">
        <v>341</v>
      </c>
      <c r="F518" s="1" t="s">
        <v>5</v>
      </c>
      <c r="G518" s="18">
        <v>875000000</v>
      </c>
      <c r="L518" s="18">
        <f>L517</f>
        <v>1000000</v>
      </c>
      <c r="M518" s="3">
        <v>4.5100000000000001E-2</v>
      </c>
      <c r="N518" s="17" t="s">
        <v>335</v>
      </c>
      <c r="O518" s="3">
        <v>2.6499999999999999E-2</v>
      </c>
      <c r="Q518" s="5">
        <v>42718</v>
      </c>
      <c r="S518" s="4">
        <f>(Q518-B518)/365.24</f>
        <v>4.0001095170298981</v>
      </c>
    </row>
    <row r="519" spans="1:19">
      <c r="A519" s="1" t="s">
        <v>547</v>
      </c>
      <c r="B519" s="5">
        <v>41257</v>
      </c>
      <c r="C519" s="1" t="s">
        <v>546</v>
      </c>
      <c r="D519" s="19">
        <v>723937000</v>
      </c>
      <c r="E519" s="1" t="s">
        <v>341</v>
      </c>
      <c r="F519" s="1" t="s">
        <v>17</v>
      </c>
      <c r="G519" s="18">
        <v>575000000</v>
      </c>
      <c r="L519" s="18">
        <f>L518</f>
        <v>1000000</v>
      </c>
      <c r="M519" s="3">
        <v>0.05</v>
      </c>
      <c r="Q519" s="5">
        <v>43083</v>
      </c>
      <c r="S519" s="4">
        <f>(Q519-B519)/365.24</f>
        <v>4.9994524148505093</v>
      </c>
    </row>
    <row r="520" spans="1:19">
      <c r="A520" s="1" t="s">
        <v>545</v>
      </c>
      <c r="B520" s="5">
        <v>41435</v>
      </c>
      <c r="C520" s="20" t="s">
        <v>538</v>
      </c>
      <c r="D520" s="19">
        <v>246720000</v>
      </c>
      <c r="E520" s="1" t="s">
        <v>338</v>
      </c>
      <c r="F520" s="1" t="s">
        <v>5</v>
      </c>
      <c r="G520" s="18">
        <v>300000000</v>
      </c>
      <c r="L520" s="18">
        <f>L519</f>
        <v>1000000</v>
      </c>
      <c r="M520" s="3">
        <v>2.7300000000000001E-2</v>
      </c>
      <c r="N520" s="17" t="s">
        <v>335</v>
      </c>
      <c r="O520" s="3">
        <v>9.4999999999999998E-3</v>
      </c>
      <c r="Q520" s="5">
        <v>43262</v>
      </c>
      <c r="S520" s="4">
        <f>(Q520-B520)/365.24</f>
        <v>5.0021903405979629</v>
      </c>
    </row>
    <row r="521" spans="1:19">
      <c r="A521" s="1" t="s">
        <v>544</v>
      </c>
      <c r="B521" s="5">
        <v>41394</v>
      </c>
      <c r="C521" s="20" t="s">
        <v>538</v>
      </c>
      <c r="D521" s="19">
        <v>246720000</v>
      </c>
      <c r="E521" s="1" t="s">
        <v>338</v>
      </c>
      <c r="F521" s="1" t="s">
        <v>5</v>
      </c>
      <c r="G521" s="18">
        <f>G520</f>
        <v>300000000</v>
      </c>
      <c r="L521" s="18">
        <f>L520</f>
        <v>1000000</v>
      </c>
      <c r="M521" s="3">
        <v>2.7400000000000001E-2</v>
      </c>
      <c r="N521" s="17" t="s">
        <v>335</v>
      </c>
      <c r="O521" s="3">
        <v>9.4999999999999998E-3</v>
      </c>
      <c r="Q521" s="5">
        <v>43006</v>
      </c>
      <c r="S521" s="4">
        <f>(Q521-B521)/365.24</f>
        <v>4.4135363048954108</v>
      </c>
    </row>
    <row r="522" spans="1:19">
      <c r="A522" s="1" t="s">
        <v>543</v>
      </c>
      <c r="B522" s="5">
        <v>41299</v>
      </c>
      <c r="C522" s="20" t="s">
        <v>538</v>
      </c>
      <c r="D522" s="19">
        <v>246720000</v>
      </c>
      <c r="E522" s="1" t="s">
        <v>338</v>
      </c>
      <c r="F522" s="1" t="s">
        <v>5</v>
      </c>
      <c r="G522" s="18">
        <f>G521</f>
        <v>300000000</v>
      </c>
      <c r="L522" s="18">
        <f>L521</f>
        <v>1000000</v>
      </c>
      <c r="M522" s="3">
        <v>2.7300000000000001E-2</v>
      </c>
      <c r="N522" s="17" t="s">
        <v>335</v>
      </c>
      <c r="O522" s="3">
        <v>8.8000000000000005E-3</v>
      </c>
      <c r="Q522" s="5">
        <v>42668</v>
      </c>
      <c r="S522" s="4">
        <f>(Q522-B522)/365.24</f>
        <v>3.7482203482641552</v>
      </c>
    </row>
    <row r="523" spans="1:19">
      <c r="A523" s="1" t="s">
        <v>542</v>
      </c>
      <c r="B523" s="5">
        <v>41197</v>
      </c>
      <c r="C523" s="20" t="s">
        <v>538</v>
      </c>
      <c r="D523" s="19">
        <v>218727000</v>
      </c>
      <c r="E523" s="1" t="s">
        <v>338</v>
      </c>
      <c r="F523" s="1" t="s">
        <v>5</v>
      </c>
      <c r="G523" s="18">
        <v>350000000</v>
      </c>
      <c r="L523" s="18">
        <f>L522</f>
        <v>1000000</v>
      </c>
      <c r="M523" s="3">
        <v>3.1099999999999999E-2</v>
      </c>
      <c r="N523" s="17" t="s">
        <v>335</v>
      </c>
      <c r="O523" s="3">
        <v>1.18E-2</v>
      </c>
      <c r="Q523" s="5">
        <v>42475</v>
      </c>
      <c r="S523" s="4">
        <f>(Q523-B523)/365.24</f>
        <v>3.4990691052458658</v>
      </c>
    </row>
    <row r="524" spans="1:19">
      <c r="A524" s="1" t="s">
        <v>541</v>
      </c>
      <c r="B524" s="5">
        <v>41088</v>
      </c>
      <c r="C524" s="20" t="s">
        <v>538</v>
      </c>
      <c r="D524" s="19">
        <v>218727000</v>
      </c>
      <c r="E524" s="1" t="s">
        <v>338</v>
      </c>
      <c r="F524" s="1" t="s">
        <v>5</v>
      </c>
      <c r="G524" s="18">
        <f>G522</f>
        <v>300000000</v>
      </c>
      <c r="L524" s="18">
        <f>L523</f>
        <v>1000000</v>
      </c>
      <c r="M524" s="3">
        <v>3.8300000000000001E-2</v>
      </c>
      <c r="N524" s="17" t="s">
        <v>335</v>
      </c>
      <c r="O524" s="3">
        <v>1.52E-2</v>
      </c>
      <c r="Q524" s="5">
        <v>42184</v>
      </c>
      <c r="S524" s="4">
        <f>(Q524-B524)/365.24</f>
        <v>3.000766619209287</v>
      </c>
    </row>
    <row r="525" spans="1:19">
      <c r="A525" s="1" t="s">
        <v>540</v>
      </c>
      <c r="B525" s="5">
        <v>40751</v>
      </c>
      <c r="C525" s="20" t="s">
        <v>538</v>
      </c>
      <c r="D525" s="19">
        <v>198871000</v>
      </c>
      <c r="E525" s="1" t="s">
        <v>338</v>
      </c>
      <c r="F525" s="1" t="s">
        <v>5</v>
      </c>
      <c r="G525" s="18">
        <f>G524</f>
        <v>300000000</v>
      </c>
      <c r="L525" s="18">
        <f>L506</f>
        <v>500000</v>
      </c>
      <c r="M525" s="3">
        <v>3.9899999999999998E-2</v>
      </c>
      <c r="N525" s="17" t="s">
        <v>335</v>
      </c>
      <c r="O525" s="3">
        <v>0.01</v>
      </c>
      <c r="Q525" s="5">
        <v>41939</v>
      </c>
      <c r="S525" s="4">
        <f>(Q525-B525)/365.24</f>
        <v>3.25265578797503</v>
      </c>
    </row>
    <row r="526" spans="1:19">
      <c r="A526" s="1" t="s">
        <v>539</v>
      </c>
      <c r="B526" s="5">
        <v>40641</v>
      </c>
      <c r="C526" s="20" t="s">
        <v>538</v>
      </c>
      <c r="D526" s="19">
        <v>198871000</v>
      </c>
      <c r="E526" s="1" t="s">
        <v>338</v>
      </c>
      <c r="F526" s="1" t="s">
        <v>5</v>
      </c>
      <c r="G526" s="18">
        <f>G525</f>
        <v>300000000</v>
      </c>
      <c r="L526" s="18">
        <f>L525</f>
        <v>500000</v>
      </c>
      <c r="M526" s="3">
        <v>3.5900000000000001E-2</v>
      </c>
      <c r="N526" s="17" t="s">
        <v>335</v>
      </c>
      <c r="O526" s="3">
        <v>9.2999999999999992E-3</v>
      </c>
      <c r="Q526" s="5">
        <v>41737</v>
      </c>
      <c r="S526" s="4">
        <f>(Q526-B526)/365.24</f>
        <v>3.000766619209287</v>
      </c>
    </row>
    <row r="527" spans="1:19">
      <c r="A527" s="1" t="s">
        <v>537</v>
      </c>
      <c r="B527" s="5">
        <v>41478</v>
      </c>
      <c r="C527" s="20" t="s">
        <v>535</v>
      </c>
      <c r="D527" s="19">
        <v>2838000000</v>
      </c>
      <c r="E527" s="1" t="s">
        <v>338</v>
      </c>
      <c r="F527" s="1" t="s">
        <v>5</v>
      </c>
      <c r="G527" s="18">
        <f>G515</f>
        <v>1000000000</v>
      </c>
      <c r="L527" s="18">
        <f>L524</f>
        <v>1000000</v>
      </c>
      <c r="M527" s="3">
        <v>2.3E-2</v>
      </c>
      <c r="N527" s="17" t="s">
        <v>335</v>
      </c>
      <c r="O527" s="2">
        <v>5.7999999999999996E-3</v>
      </c>
      <c r="Q527" s="5">
        <v>42208</v>
      </c>
      <c r="S527" s="4">
        <f>(Q527-B527)/365.24</f>
        <v>1.9986857956412221</v>
      </c>
    </row>
    <row r="528" spans="1:19">
      <c r="A528" s="1" t="s">
        <v>537</v>
      </c>
      <c r="B528" s="5">
        <v>41478</v>
      </c>
      <c r="C528" s="20" t="s">
        <v>535</v>
      </c>
      <c r="D528" s="19">
        <v>2838000000</v>
      </c>
      <c r="E528" s="1" t="s">
        <v>338</v>
      </c>
      <c r="F528" s="1" t="s">
        <v>5</v>
      </c>
      <c r="G528" s="18">
        <f>G527</f>
        <v>1000000000</v>
      </c>
      <c r="L528" s="18">
        <f>L527</f>
        <v>1000000</v>
      </c>
      <c r="M528" s="3">
        <f>M527</f>
        <v>2.3E-2</v>
      </c>
      <c r="N528" s="17" t="s">
        <v>335</v>
      </c>
      <c r="O528" s="2">
        <v>5.7999999999999996E-3</v>
      </c>
      <c r="Q528" s="5">
        <v>42208</v>
      </c>
      <c r="S528" s="4">
        <f>(Q528-B528)/365.24</f>
        <v>1.9986857956412221</v>
      </c>
    </row>
    <row r="529" spans="1:22">
      <c r="A529" s="1" t="s">
        <v>536</v>
      </c>
      <c r="B529" s="5">
        <v>41194</v>
      </c>
      <c r="C529" s="20" t="s">
        <v>535</v>
      </c>
      <c r="D529" s="19">
        <v>2552000000</v>
      </c>
      <c r="E529" s="1" t="s">
        <v>338</v>
      </c>
      <c r="F529" s="1" t="s">
        <v>5</v>
      </c>
      <c r="G529" s="18">
        <f>G472</f>
        <v>500000000</v>
      </c>
      <c r="L529" s="18">
        <f>L528</f>
        <v>1000000</v>
      </c>
      <c r="M529" s="3">
        <v>2.47E-2</v>
      </c>
      <c r="N529" s="17" t="s">
        <v>335</v>
      </c>
      <c r="O529" s="2">
        <v>5.1999999999999998E-3</v>
      </c>
      <c r="Q529" s="5">
        <v>41740</v>
      </c>
      <c r="S529" s="4">
        <f>(Q529-B529)/365.24</f>
        <v>1.4949074581097361</v>
      </c>
    </row>
    <row r="530" spans="1:22">
      <c r="A530" s="1" t="s">
        <v>534</v>
      </c>
      <c r="B530" s="5">
        <v>41675</v>
      </c>
      <c r="C530" s="20" t="s">
        <v>279</v>
      </c>
      <c r="D530" s="19">
        <v>527000000</v>
      </c>
      <c r="E530" s="1" t="s">
        <v>338</v>
      </c>
      <c r="F530" s="29" t="s">
        <v>5</v>
      </c>
      <c r="G530" s="18">
        <f>G526</f>
        <v>300000000</v>
      </c>
      <c r="L530" s="18">
        <f>L513</f>
        <v>100000</v>
      </c>
      <c r="M530" s="3">
        <v>3.5000000000000003E-2</v>
      </c>
      <c r="N530" s="17" t="s">
        <v>335</v>
      </c>
      <c r="O530" s="2">
        <v>1.7999999999999999E-2</v>
      </c>
      <c r="Q530" s="5">
        <v>45327</v>
      </c>
      <c r="S530" s="4">
        <f>(Q530-B530)/365.24</f>
        <v>9.9989048297010186</v>
      </c>
      <c r="V530" s="1" t="s">
        <v>56</v>
      </c>
    </row>
    <row r="531" spans="1:22">
      <c r="A531" s="1" t="s">
        <v>533</v>
      </c>
      <c r="B531" s="5">
        <v>41614</v>
      </c>
      <c r="C531" s="20" t="s">
        <v>279</v>
      </c>
      <c r="D531" s="19">
        <v>542000000</v>
      </c>
      <c r="E531" s="1" t="s">
        <v>338</v>
      </c>
      <c r="F531" s="1" t="s">
        <v>5</v>
      </c>
      <c r="G531" s="18">
        <f>G527</f>
        <v>1000000000</v>
      </c>
      <c r="L531" s="18">
        <f>L529</f>
        <v>1000000</v>
      </c>
      <c r="M531" s="3">
        <v>2.3199999999999998E-2</v>
      </c>
      <c r="N531" s="17" t="s">
        <v>335</v>
      </c>
      <c r="O531" s="2">
        <v>6.7000000000000002E-3</v>
      </c>
      <c r="Q531" s="5">
        <v>42892</v>
      </c>
      <c r="S531" s="4">
        <f>(Q531-B531)/365.24</f>
        <v>3.4990691052458658</v>
      </c>
    </row>
    <row r="532" spans="1:22">
      <c r="A532" s="1" t="s">
        <v>532</v>
      </c>
      <c r="B532" s="5">
        <v>41627</v>
      </c>
      <c r="C532" s="20" t="s">
        <v>279</v>
      </c>
      <c r="D532" s="19">
        <v>542000000</v>
      </c>
      <c r="E532" s="1" t="s">
        <v>338</v>
      </c>
      <c r="F532" s="1" t="s">
        <v>5</v>
      </c>
      <c r="G532" s="18">
        <f>G531</f>
        <v>1000000000</v>
      </c>
      <c r="L532" s="18">
        <f>L531</f>
        <v>1000000</v>
      </c>
      <c r="M532" s="3">
        <v>2.53E-2</v>
      </c>
      <c r="N532" s="17" t="s">
        <v>335</v>
      </c>
      <c r="O532" s="2">
        <v>8.5000000000000006E-3</v>
      </c>
      <c r="Q532" s="5">
        <v>43504</v>
      </c>
      <c r="S532" s="4">
        <f>(Q532-B532)/365.24</f>
        <v>5.1390866279706495</v>
      </c>
    </row>
    <row r="533" spans="1:22">
      <c r="A533" s="1" t="s">
        <v>531</v>
      </c>
      <c r="B533" s="5">
        <v>41593</v>
      </c>
      <c r="C533" s="20" t="s">
        <v>279</v>
      </c>
      <c r="D533" s="19">
        <v>542000000</v>
      </c>
      <c r="E533" s="1" t="s">
        <v>338</v>
      </c>
      <c r="F533" s="1" t="s">
        <v>17</v>
      </c>
      <c r="G533" s="18">
        <f>G532</f>
        <v>1000000000</v>
      </c>
      <c r="L533" s="18">
        <f>L532</f>
        <v>1000000</v>
      </c>
      <c r="M533" s="3">
        <v>3.5499999999999997E-2</v>
      </c>
      <c r="O533" s="2"/>
      <c r="Q533" s="5">
        <v>43630</v>
      </c>
      <c r="S533" s="4">
        <f>(Q533-B533)/365.24</f>
        <v>5.5771547475632461</v>
      </c>
    </row>
    <row r="534" spans="1:22">
      <c r="A534" s="1" t="s">
        <v>530</v>
      </c>
      <c r="B534" s="5">
        <v>41383</v>
      </c>
      <c r="C534" s="20" t="s">
        <v>279</v>
      </c>
      <c r="D534" s="19">
        <v>542000000</v>
      </c>
      <c r="E534" s="1" t="s">
        <v>338</v>
      </c>
      <c r="F534" s="1" t="s">
        <v>17</v>
      </c>
      <c r="G534" s="18">
        <v>800000000</v>
      </c>
      <c r="L534" s="18">
        <f>L533</f>
        <v>1000000</v>
      </c>
      <c r="M534" s="3">
        <v>3.2500000000000001E-2</v>
      </c>
      <c r="O534" s="2"/>
      <c r="Q534" s="5">
        <v>43270</v>
      </c>
      <c r="S534" s="4">
        <f>(Q534-B534)/365.24</f>
        <v>5.166465885445187</v>
      </c>
    </row>
    <row r="535" spans="1:22">
      <c r="A535" s="1" t="s">
        <v>529</v>
      </c>
      <c r="B535" s="5">
        <v>41289</v>
      </c>
      <c r="C535" s="20" t="s">
        <v>279</v>
      </c>
      <c r="D535" s="19">
        <v>542000000</v>
      </c>
      <c r="E535" s="1" t="s">
        <v>338</v>
      </c>
      <c r="F535" s="1" t="s">
        <v>5</v>
      </c>
      <c r="G535" s="18">
        <f>G533</f>
        <v>1000000000</v>
      </c>
      <c r="L535" s="18">
        <f>L534</f>
        <v>1000000</v>
      </c>
      <c r="M535" s="3">
        <v>2.98E-2</v>
      </c>
      <c r="N535" s="17" t="s">
        <v>335</v>
      </c>
      <c r="O535" s="2">
        <v>1.11E-2</v>
      </c>
      <c r="Q535" s="5">
        <v>43115</v>
      </c>
      <c r="S535" s="4">
        <f>(Q535-B535)/365.24</f>
        <v>4.9994524148505093</v>
      </c>
    </row>
    <row r="536" spans="1:22">
      <c r="A536" s="1" t="s">
        <v>528</v>
      </c>
      <c r="B536" s="5">
        <v>41145</v>
      </c>
      <c r="C536" s="20" t="s">
        <v>279</v>
      </c>
      <c r="D536" s="19">
        <v>517000000</v>
      </c>
      <c r="E536" s="1" t="s">
        <v>338</v>
      </c>
      <c r="F536" s="1" t="s">
        <v>5</v>
      </c>
      <c r="G536" s="18">
        <f>G535</f>
        <v>1000000000</v>
      </c>
      <c r="L536" s="18">
        <f>L535</f>
        <v>1000000</v>
      </c>
      <c r="M536" s="3">
        <v>3.4799999999999998E-2</v>
      </c>
      <c r="N536" s="17" t="s">
        <v>335</v>
      </c>
      <c r="O536" s="2">
        <v>1.41E-2</v>
      </c>
      <c r="Q536" s="5">
        <v>42606</v>
      </c>
      <c r="S536" s="4">
        <f>(Q536-B536)/365.24</f>
        <v>4.0001095170298981</v>
      </c>
    </row>
    <row r="537" spans="1:22">
      <c r="A537" s="1" t="s">
        <v>527</v>
      </c>
      <c r="B537" s="5">
        <v>41142</v>
      </c>
      <c r="C537" s="20" t="s">
        <v>279</v>
      </c>
      <c r="D537" s="19">
        <v>517000000</v>
      </c>
      <c r="E537" s="1" t="s">
        <v>338</v>
      </c>
      <c r="F537" s="1" t="s">
        <v>5</v>
      </c>
      <c r="G537" s="18">
        <f>G536</f>
        <v>1000000000</v>
      </c>
      <c r="L537" s="18">
        <f>L526</f>
        <v>500000</v>
      </c>
      <c r="M537" s="3">
        <v>3.7199999999999997E-2</v>
      </c>
      <c r="N537" s="17" t="s">
        <v>335</v>
      </c>
      <c r="O537" s="2">
        <v>1.6299999999999999E-2</v>
      </c>
      <c r="Q537" s="5">
        <v>42968</v>
      </c>
      <c r="S537" s="4">
        <f>(Q537-B537)/365.24</f>
        <v>4.9994524148505093</v>
      </c>
    </row>
    <row r="538" spans="1:22">
      <c r="A538" s="1" t="s">
        <v>526</v>
      </c>
      <c r="B538" s="5">
        <v>40983</v>
      </c>
      <c r="C538" s="20" t="s">
        <v>279</v>
      </c>
      <c r="D538" s="19">
        <v>517000000</v>
      </c>
      <c r="E538" s="1" t="s">
        <v>338</v>
      </c>
      <c r="F538" s="1" t="s">
        <v>5</v>
      </c>
      <c r="G538" s="18">
        <v>700000000</v>
      </c>
      <c r="L538" s="18">
        <f>L537</f>
        <v>500000</v>
      </c>
      <c r="M538" s="3">
        <v>3.8300000000000001E-2</v>
      </c>
      <c r="N538" s="17" t="s">
        <v>335</v>
      </c>
      <c r="O538" s="2">
        <v>1.4999999999999999E-2</v>
      </c>
      <c r="Q538" s="5">
        <v>42475</v>
      </c>
      <c r="S538" s="4">
        <f>(Q538-B538)/365.24</f>
        <v>4.0849852152009634</v>
      </c>
    </row>
    <row r="539" spans="1:22">
      <c r="A539" s="1" t="s">
        <v>525</v>
      </c>
      <c r="B539" s="5">
        <v>40935</v>
      </c>
      <c r="C539" s="20" t="s">
        <v>279</v>
      </c>
      <c r="D539" s="19">
        <v>517000000</v>
      </c>
      <c r="E539" s="1" t="s">
        <v>338</v>
      </c>
      <c r="F539" s="1" t="s">
        <v>5</v>
      </c>
      <c r="G539" s="18">
        <f>G538</f>
        <v>700000000</v>
      </c>
      <c r="L539" s="18">
        <f>L538</f>
        <v>500000</v>
      </c>
      <c r="M539" s="3">
        <v>4.1300000000000003E-2</v>
      </c>
      <c r="N539" s="17" t="s">
        <v>335</v>
      </c>
      <c r="O539" s="2">
        <v>1.43E-2</v>
      </c>
      <c r="Q539" s="5">
        <v>42031</v>
      </c>
      <c r="S539" s="4">
        <f>(Q539-B539)/365.24</f>
        <v>3.000766619209287</v>
      </c>
    </row>
    <row r="540" spans="1:22">
      <c r="A540" s="1" t="s">
        <v>524</v>
      </c>
      <c r="B540" s="5">
        <v>40632</v>
      </c>
      <c r="C540" s="20" t="s">
        <v>279</v>
      </c>
      <c r="D540" s="19">
        <v>512000000</v>
      </c>
      <c r="E540" s="1" t="s">
        <v>338</v>
      </c>
      <c r="F540" s="1" t="s">
        <v>5</v>
      </c>
      <c r="G540" s="18">
        <f>G539</f>
        <v>700000000</v>
      </c>
      <c r="L540" s="18">
        <f>L539</f>
        <v>500000</v>
      </c>
      <c r="M540" s="3">
        <v>3.5200000000000002E-2</v>
      </c>
      <c r="N540" s="17" t="s">
        <v>335</v>
      </c>
      <c r="O540" s="2">
        <v>8.8000000000000005E-3</v>
      </c>
      <c r="Q540" s="5">
        <v>41862</v>
      </c>
      <c r="S540" s="4">
        <f>(Q540-B540)/365.24</f>
        <v>3.3676486693680867</v>
      </c>
    </row>
    <row r="541" spans="1:22">
      <c r="A541" s="1" t="s">
        <v>523</v>
      </c>
      <c r="B541" s="5">
        <v>40578</v>
      </c>
      <c r="C541" s="20" t="s">
        <v>279</v>
      </c>
      <c r="D541" s="19">
        <v>512000000</v>
      </c>
      <c r="E541" s="1" t="s">
        <v>338</v>
      </c>
      <c r="F541" s="1" t="s">
        <v>17</v>
      </c>
      <c r="G541" s="18">
        <f>G534</f>
        <v>800000000</v>
      </c>
      <c r="L541" s="18">
        <f>L540</f>
        <v>500000</v>
      </c>
      <c r="M541" s="3">
        <v>5.0999999999999997E-2</v>
      </c>
      <c r="O541" s="2"/>
      <c r="Q541" s="5">
        <v>42404</v>
      </c>
      <c r="S541" s="4">
        <f>(Q541-B541)/365.24</f>
        <v>4.9994524148505093</v>
      </c>
    </row>
    <row r="542" spans="1:22">
      <c r="A542" s="1" t="s">
        <v>522</v>
      </c>
      <c r="B542" s="5">
        <v>41660</v>
      </c>
      <c r="C542" s="30" t="s">
        <v>517</v>
      </c>
      <c r="D542" s="19"/>
      <c r="E542" s="1" t="s">
        <v>25</v>
      </c>
      <c r="F542" s="1" t="s">
        <v>5</v>
      </c>
      <c r="G542" s="18">
        <f>G524</f>
        <v>300000000</v>
      </c>
      <c r="L542" s="18">
        <f>L536</f>
        <v>1000000</v>
      </c>
      <c r="M542" s="3">
        <v>2.3E-2</v>
      </c>
      <c r="N542" s="17" t="s">
        <v>335</v>
      </c>
      <c r="O542" s="2">
        <v>6.4999999999999997E-3</v>
      </c>
      <c r="Q542" s="5">
        <v>42572</v>
      </c>
      <c r="S542" s="4">
        <f>(Q542-B542)/365.24</f>
        <v>2.4969882816778006</v>
      </c>
    </row>
    <row r="543" spans="1:22">
      <c r="A543" s="1" t="s">
        <v>521</v>
      </c>
      <c r="B543" s="5">
        <v>41304</v>
      </c>
      <c r="C543" s="30" t="s">
        <v>517</v>
      </c>
      <c r="D543" s="19">
        <v>56929000</v>
      </c>
      <c r="E543" s="1" t="s">
        <v>25</v>
      </c>
      <c r="F543" s="1" t="s">
        <v>17</v>
      </c>
      <c r="G543" s="18">
        <v>400000000</v>
      </c>
      <c r="L543" s="18">
        <f>L542</f>
        <v>1000000</v>
      </c>
      <c r="M543" s="3">
        <v>4.9500000000000002E-2</v>
      </c>
      <c r="O543" s="2"/>
      <c r="Q543" s="5">
        <v>44956</v>
      </c>
      <c r="S543" s="4">
        <f>(Q543-B543)/365.24</f>
        <v>9.9989048297010186</v>
      </c>
    </row>
    <row r="544" spans="1:22">
      <c r="A544" s="1" t="s">
        <v>520</v>
      </c>
      <c r="B544" s="5">
        <v>41043</v>
      </c>
      <c r="C544" s="30" t="s">
        <v>517</v>
      </c>
      <c r="D544" s="19">
        <v>53081000</v>
      </c>
      <c r="E544" s="1" t="s">
        <v>25</v>
      </c>
      <c r="F544" s="1" t="s">
        <v>5</v>
      </c>
      <c r="G544" s="18">
        <f>G542</f>
        <v>300000000</v>
      </c>
      <c r="L544" s="18">
        <f>L541</f>
        <v>500000</v>
      </c>
      <c r="M544" s="3">
        <v>3.1699999999999999E-2</v>
      </c>
      <c r="N544" s="17" t="s">
        <v>335</v>
      </c>
      <c r="O544" s="2">
        <v>8.8000000000000005E-3</v>
      </c>
      <c r="Q544" s="5">
        <v>41743</v>
      </c>
      <c r="S544" s="4">
        <f>(Q544-B544)/365.24</f>
        <v>1.9165480232176102</v>
      </c>
    </row>
    <row r="545" spans="1:19">
      <c r="A545" s="1" t="s">
        <v>519</v>
      </c>
      <c r="B545" s="5">
        <v>40785</v>
      </c>
      <c r="C545" s="30" t="s">
        <v>517</v>
      </c>
      <c r="D545" s="19">
        <v>49658000</v>
      </c>
      <c r="E545" s="1" t="s">
        <v>25</v>
      </c>
      <c r="F545" s="1" t="s">
        <v>5</v>
      </c>
      <c r="G545" s="18">
        <f>G543</f>
        <v>400000000</v>
      </c>
      <c r="L545" s="18">
        <f>L544</f>
        <v>500000</v>
      </c>
      <c r="M545" s="3">
        <v>4.3499999999999997E-2</v>
      </c>
      <c r="N545" s="17" t="s">
        <v>335</v>
      </c>
      <c r="O545" s="2">
        <v>1.2500000000000001E-2</v>
      </c>
      <c r="Q545" s="5">
        <v>43707</v>
      </c>
      <c r="S545" s="4">
        <f>(Q545-B545)/365.24</f>
        <v>8.0002190340597963</v>
      </c>
    </row>
    <row r="546" spans="1:19">
      <c r="A546" s="1" t="s">
        <v>518</v>
      </c>
      <c r="B546" s="5">
        <v>40686</v>
      </c>
      <c r="C546" s="30" t="s">
        <v>517</v>
      </c>
      <c r="D546" s="19">
        <v>49658000</v>
      </c>
      <c r="E546" s="1" t="s">
        <v>25</v>
      </c>
      <c r="F546" s="1" t="s">
        <v>5</v>
      </c>
      <c r="G546" s="18">
        <f>G529</f>
        <v>500000000</v>
      </c>
      <c r="L546" s="18">
        <f>L545</f>
        <v>500000</v>
      </c>
      <c r="M546" s="3">
        <v>3.8399999999999997E-2</v>
      </c>
      <c r="N546" s="17" t="s">
        <v>335</v>
      </c>
      <c r="O546" s="2">
        <v>1.15E-2</v>
      </c>
      <c r="Q546" s="5">
        <v>43243</v>
      </c>
      <c r="S546" s="4">
        <f>(Q546-B546)/365.24</f>
        <v>7.0008761362391851</v>
      </c>
    </row>
    <row r="547" spans="1:19">
      <c r="A547" s="1" t="s">
        <v>516</v>
      </c>
      <c r="B547" s="5">
        <v>40568</v>
      </c>
      <c r="C547" s="1" t="s">
        <v>515</v>
      </c>
      <c r="D547" s="19"/>
      <c r="E547" s="1" t="s">
        <v>338</v>
      </c>
      <c r="F547" s="1" t="s">
        <v>5</v>
      </c>
      <c r="G547" s="18">
        <f>G470</f>
        <v>100000000</v>
      </c>
      <c r="L547" s="18">
        <f>L546</f>
        <v>500000</v>
      </c>
      <c r="M547" s="3">
        <v>3.73E-2</v>
      </c>
      <c r="N547" s="17" t="s">
        <v>335</v>
      </c>
      <c r="O547" s="2">
        <v>1.12E-2</v>
      </c>
      <c r="Q547" s="5">
        <v>41876</v>
      </c>
      <c r="S547" s="4">
        <f>(Q547-B547)/365.24</f>
        <v>3.5812068776694774</v>
      </c>
    </row>
    <row r="548" spans="1:19">
      <c r="A548" s="1" t="s">
        <v>514</v>
      </c>
      <c r="B548" s="5">
        <v>40984</v>
      </c>
      <c r="C548" s="1" t="s">
        <v>513</v>
      </c>
      <c r="D548" s="19"/>
      <c r="E548" s="1" t="s">
        <v>6</v>
      </c>
      <c r="F548" s="1" t="s">
        <v>5</v>
      </c>
      <c r="G548" s="18">
        <f>G544</f>
        <v>300000000</v>
      </c>
      <c r="L548" s="18">
        <f>L547</f>
        <v>500000</v>
      </c>
      <c r="M548" s="3">
        <v>6.5600000000000006E-2</v>
      </c>
      <c r="N548" s="17" t="s">
        <v>335</v>
      </c>
      <c r="O548" s="2">
        <v>4.2500000000000003E-2</v>
      </c>
      <c r="Q548" s="5">
        <v>42079</v>
      </c>
      <c r="S548" s="4">
        <f>(Q548-B548)/365.24</f>
        <v>2.9980286934618334</v>
      </c>
    </row>
    <row r="549" spans="1:19">
      <c r="A549" s="1" t="s">
        <v>512</v>
      </c>
      <c r="B549" s="5">
        <v>41611</v>
      </c>
      <c r="C549" s="20" t="s">
        <v>506</v>
      </c>
      <c r="D549" s="19">
        <v>130429000</v>
      </c>
      <c r="E549" s="1" t="s">
        <v>338</v>
      </c>
      <c r="F549" s="1" t="s">
        <v>5</v>
      </c>
      <c r="G549" s="18">
        <f>G504</f>
        <v>200000000</v>
      </c>
      <c r="L549" s="18">
        <f>L543</f>
        <v>1000000</v>
      </c>
      <c r="M549" s="3">
        <v>2.76E-2</v>
      </c>
      <c r="N549" s="17" t="s">
        <v>335</v>
      </c>
      <c r="O549" s="2">
        <v>1.0800000000000001E-2</v>
      </c>
      <c r="Q549" s="5">
        <v>43437</v>
      </c>
      <c r="S549" s="4">
        <f>(Q549-B549)/365.24</f>
        <v>4.9994524148505093</v>
      </c>
    </row>
    <row r="550" spans="1:19">
      <c r="A550" s="1" t="s">
        <v>511</v>
      </c>
      <c r="B550" s="5">
        <v>41508</v>
      </c>
      <c r="C550" s="20" t="s">
        <v>506</v>
      </c>
      <c r="D550" s="19">
        <v>130429000</v>
      </c>
      <c r="E550" s="1" t="s">
        <v>338</v>
      </c>
      <c r="F550" s="1" t="s">
        <v>5</v>
      </c>
      <c r="G550" s="18">
        <f>G549</f>
        <v>200000000</v>
      </c>
      <c r="L550" s="18">
        <f>L549</f>
        <v>1000000</v>
      </c>
      <c r="M550" s="3">
        <v>2.52E-2</v>
      </c>
      <c r="N550" s="17" t="s">
        <v>335</v>
      </c>
      <c r="O550" s="2">
        <v>8.0000000000000002E-3</v>
      </c>
      <c r="Q550" s="5">
        <v>42604</v>
      </c>
      <c r="S550" s="4">
        <f>(Q550-B550)/365.24</f>
        <v>3.000766619209287</v>
      </c>
    </row>
    <row r="551" spans="1:19">
      <c r="A551" s="1" t="s">
        <v>510</v>
      </c>
      <c r="B551" s="5">
        <v>41206</v>
      </c>
      <c r="C551" s="20" t="s">
        <v>506</v>
      </c>
      <c r="D551" s="19">
        <v>126774000</v>
      </c>
      <c r="E551" s="1" t="s">
        <v>338</v>
      </c>
      <c r="F551" s="1" t="s">
        <v>5</v>
      </c>
      <c r="G551" s="18">
        <f>G550</f>
        <v>200000000</v>
      </c>
      <c r="L551" s="18">
        <f>L530</f>
        <v>100000</v>
      </c>
      <c r="M551" s="3">
        <v>3.0300000000000001E-2</v>
      </c>
      <c r="N551" s="17" t="s">
        <v>335</v>
      </c>
      <c r="O551" s="2">
        <v>1.2500000000000001E-2</v>
      </c>
      <c r="Q551" s="5">
        <v>42405</v>
      </c>
      <c r="S551" s="4">
        <f>(Q551-B551)/365.24</f>
        <v>3.2827729711970211</v>
      </c>
    </row>
    <row r="552" spans="1:19">
      <c r="A552" s="1" t="s">
        <v>509</v>
      </c>
      <c r="B552" s="5">
        <v>41173</v>
      </c>
      <c r="C552" s="20" t="s">
        <v>506</v>
      </c>
      <c r="D552" s="19">
        <v>126774000</v>
      </c>
      <c r="E552" s="1" t="s">
        <v>338</v>
      </c>
      <c r="F552" s="1" t="s">
        <v>5</v>
      </c>
      <c r="G552" s="18">
        <f>G551</f>
        <v>200000000</v>
      </c>
      <c r="L552" s="18">
        <f>L551</f>
        <v>100000</v>
      </c>
      <c r="M552" s="3">
        <v>4.0500000000000001E-2</v>
      </c>
      <c r="N552" s="17" t="s">
        <v>335</v>
      </c>
      <c r="O552" s="2">
        <v>1.15E-2</v>
      </c>
      <c r="Q552" s="5">
        <v>42237</v>
      </c>
      <c r="S552" s="4">
        <f>(Q552-B552)/365.24</f>
        <v>2.9131529952907678</v>
      </c>
    </row>
    <row r="553" spans="1:19">
      <c r="A553" s="1" t="s">
        <v>508</v>
      </c>
      <c r="B553" s="5">
        <v>41173</v>
      </c>
      <c r="C553" s="20" t="s">
        <v>506</v>
      </c>
      <c r="D553" s="19">
        <v>126774000</v>
      </c>
      <c r="E553" s="1" t="s">
        <v>338</v>
      </c>
      <c r="F553" s="1" t="s">
        <v>5</v>
      </c>
      <c r="G553" s="18">
        <f>G552</f>
        <v>200000000</v>
      </c>
      <c r="L553" s="18">
        <f>L552</f>
        <v>100000</v>
      </c>
      <c r="M553" s="3">
        <v>3.4000000000000002E-2</v>
      </c>
      <c r="N553" s="17" t="s">
        <v>335</v>
      </c>
      <c r="O553" s="2">
        <v>1.4999999999999999E-2</v>
      </c>
      <c r="Q553" s="5">
        <v>42999</v>
      </c>
      <c r="S553" s="4">
        <f>(Q553-B553)/365.24</f>
        <v>4.9994524148505093</v>
      </c>
    </row>
    <row r="554" spans="1:19">
      <c r="A554" s="1" t="s">
        <v>507</v>
      </c>
      <c r="B554" s="5">
        <v>41078</v>
      </c>
      <c r="C554" s="20" t="s">
        <v>506</v>
      </c>
      <c r="D554" s="19">
        <v>126774000</v>
      </c>
      <c r="E554" s="1" t="s">
        <v>338</v>
      </c>
      <c r="F554" s="1" t="s">
        <v>5</v>
      </c>
      <c r="G554" s="18">
        <f>G547</f>
        <v>100000000</v>
      </c>
      <c r="L554" s="18">
        <f>L548</f>
        <v>500000</v>
      </c>
      <c r="M554" s="3">
        <v>3.6799999999999999E-2</v>
      </c>
      <c r="N554" s="17" t="s">
        <v>335</v>
      </c>
      <c r="O554" s="2">
        <v>1.35E-2</v>
      </c>
      <c r="Q554" s="5">
        <v>41961</v>
      </c>
      <c r="S554" s="4">
        <f>(Q554-B554)/365.24</f>
        <v>2.4175884350016426</v>
      </c>
    </row>
    <row r="555" spans="1:19">
      <c r="A555" s="1" t="s">
        <v>505</v>
      </c>
      <c r="B555" s="5">
        <v>40959</v>
      </c>
      <c r="C555" s="20" t="s">
        <v>504</v>
      </c>
      <c r="D555" s="19"/>
      <c r="E555" s="1" t="s">
        <v>338</v>
      </c>
      <c r="F555" s="1" t="s">
        <v>5</v>
      </c>
      <c r="G555" s="18">
        <v>2500000000</v>
      </c>
      <c r="L555" s="18">
        <f>L554</f>
        <v>500000</v>
      </c>
      <c r="M555" s="3">
        <v>3.9199999999999999E-2</v>
      </c>
      <c r="N555" s="17" t="s">
        <v>335</v>
      </c>
      <c r="O555" s="2">
        <v>1.2500000000000001E-2</v>
      </c>
      <c r="Q555" s="5">
        <v>42055</v>
      </c>
      <c r="S555" s="4">
        <f>(Q555-B555)/365.24</f>
        <v>3.000766619209287</v>
      </c>
    </row>
    <row r="556" spans="1:19">
      <c r="A556" s="1" t="s">
        <v>503</v>
      </c>
      <c r="B556" s="5">
        <v>41675</v>
      </c>
      <c r="C556" s="1" t="s">
        <v>491</v>
      </c>
      <c r="D556" s="19">
        <v>830234000</v>
      </c>
      <c r="E556" s="1" t="s">
        <v>338</v>
      </c>
      <c r="F556" s="1" t="s">
        <v>5</v>
      </c>
      <c r="G556" s="18">
        <f>G517</f>
        <v>600000000</v>
      </c>
      <c r="L556" s="18">
        <f>L550</f>
        <v>1000000</v>
      </c>
      <c r="M556" s="3">
        <v>2.4199999999999999E-2</v>
      </c>
      <c r="N556" s="17" t="s">
        <v>335</v>
      </c>
      <c r="O556" s="2">
        <v>7.1999999999999998E-3</v>
      </c>
      <c r="Q556" s="5">
        <v>43537</v>
      </c>
      <c r="S556" s="4">
        <f>(Q556-B556)/365.24</f>
        <v>5.0980177417588433</v>
      </c>
    </row>
    <row r="557" spans="1:19">
      <c r="A557" s="1" t="s">
        <v>502</v>
      </c>
      <c r="B557" s="5">
        <v>41611</v>
      </c>
      <c r="C557" s="1" t="s">
        <v>491</v>
      </c>
      <c r="D557" s="19">
        <v>874180000</v>
      </c>
      <c r="E557" s="1" t="s">
        <v>338</v>
      </c>
      <c r="F557" s="1" t="s">
        <v>5</v>
      </c>
      <c r="G557" s="18">
        <f>G556</f>
        <v>600000000</v>
      </c>
      <c r="L557" s="18">
        <f>L556</f>
        <v>1000000</v>
      </c>
      <c r="M557" s="3">
        <v>2.53E-2</v>
      </c>
      <c r="N557" s="17" t="s">
        <v>335</v>
      </c>
      <c r="O557" s="2">
        <v>8.5000000000000006E-3</v>
      </c>
      <c r="Q557" s="5">
        <v>43437</v>
      </c>
      <c r="S557" s="4">
        <f>(Q557-B557)/365.24</f>
        <v>4.9994524148505093</v>
      </c>
    </row>
    <row r="558" spans="1:19">
      <c r="A558" s="1" t="s">
        <v>501</v>
      </c>
      <c r="B558" s="5">
        <v>41535</v>
      </c>
      <c r="C558" s="1" t="s">
        <v>491</v>
      </c>
      <c r="D558" s="19">
        <v>874180000</v>
      </c>
      <c r="E558" s="1" t="s">
        <v>338</v>
      </c>
      <c r="F558" s="1" t="s">
        <v>17</v>
      </c>
      <c r="G558" s="18">
        <f>G557</f>
        <v>600000000</v>
      </c>
      <c r="L558" s="18">
        <f>L557</f>
        <v>1000000</v>
      </c>
      <c r="M558" s="3">
        <v>3.85E-2</v>
      </c>
      <c r="O558" s="2"/>
      <c r="Q558" s="5">
        <v>43726</v>
      </c>
      <c r="S558" s="4">
        <f>(Q558-B558)/365.24</f>
        <v>5.9987953126711204</v>
      </c>
    </row>
    <row r="559" spans="1:19">
      <c r="A559" s="1" t="s">
        <v>500</v>
      </c>
      <c r="B559" s="5">
        <v>41375</v>
      </c>
      <c r="C559" s="1" t="s">
        <v>491</v>
      </c>
      <c r="D559" s="19">
        <v>874180000</v>
      </c>
      <c r="E559" s="1" t="s">
        <v>338</v>
      </c>
      <c r="F559" s="1" t="s">
        <v>5</v>
      </c>
      <c r="G559" s="18">
        <f>G558</f>
        <v>600000000</v>
      </c>
      <c r="L559" s="18">
        <f>L555</f>
        <v>500000</v>
      </c>
      <c r="M559" s="3">
        <v>2.6499999999999999E-2</v>
      </c>
      <c r="N559" s="17" t="s">
        <v>335</v>
      </c>
      <c r="O559" s="2">
        <v>8.0000000000000002E-3</v>
      </c>
      <c r="Q559" s="5">
        <v>42836</v>
      </c>
      <c r="S559" s="4">
        <f>(Q559-B559)/365.24</f>
        <v>4.0001095170298981</v>
      </c>
    </row>
    <row r="560" spans="1:19">
      <c r="A560" s="1" t="s">
        <v>499</v>
      </c>
      <c r="B560" s="5">
        <v>41345</v>
      </c>
      <c r="C560" s="1" t="s">
        <v>491</v>
      </c>
      <c r="D560" s="19">
        <v>874180000</v>
      </c>
      <c r="E560" s="1" t="s">
        <v>338</v>
      </c>
      <c r="F560" s="1" t="s">
        <v>5</v>
      </c>
      <c r="G560" s="18">
        <f>G559</f>
        <v>600000000</v>
      </c>
      <c r="L560" s="18">
        <f>L559</f>
        <v>500000</v>
      </c>
      <c r="M560" s="3">
        <v>2.5399999999999999E-2</v>
      </c>
      <c r="N560" s="17" t="s">
        <v>335</v>
      </c>
      <c r="O560" s="2">
        <v>7.0000000000000001E-3</v>
      </c>
      <c r="Q560" s="5">
        <v>42440</v>
      </c>
      <c r="S560" s="4">
        <f>(Q560-B560)/365.24</f>
        <v>2.9980286934618334</v>
      </c>
    </row>
    <row r="561" spans="1:22">
      <c r="A561" s="1" t="s">
        <v>498</v>
      </c>
      <c r="B561" s="5">
        <v>41320</v>
      </c>
      <c r="C561" s="1" t="s">
        <v>491</v>
      </c>
      <c r="D561" s="19">
        <v>874180000</v>
      </c>
      <c r="E561" s="1" t="s">
        <v>338</v>
      </c>
      <c r="F561" s="29" t="s">
        <v>5</v>
      </c>
      <c r="G561" s="18">
        <f>G547</f>
        <v>100000000</v>
      </c>
      <c r="L561" s="18">
        <f>L558</f>
        <v>1000000</v>
      </c>
      <c r="M561" s="3">
        <v>4.3400000000000001E-2</v>
      </c>
      <c r="N561" s="17" t="s">
        <v>335</v>
      </c>
      <c r="O561" s="2">
        <v>2.4500000000000001E-2</v>
      </c>
      <c r="Q561" s="5">
        <v>44972</v>
      </c>
      <c r="S561" s="4">
        <f>(Q561-B561)/365.24</f>
        <v>9.9989048297010186</v>
      </c>
      <c r="V561" s="1" t="s">
        <v>56</v>
      </c>
    </row>
    <row r="562" spans="1:22">
      <c r="A562" s="1" t="s">
        <v>497</v>
      </c>
      <c r="B562" s="5">
        <v>41166</v>
      </c>
      <c r="C562" s="1" t="s">
        <v>491</v>
      </c>
      <c r="D562" s="19">
        <v>882763000</v>
      </c>
      <c r="E562" s="1" t="s">
        <v>338</v>
      </c>
      <c r="F562" s="29" t="s">
        <v>5</v>
      </c>
      <c r="G562" s="18">
        <v>150000000</v>
      </c>
      <c r="L562" s="18">
        <f>L560</f>
        <v>500000</v>
      </c>
      <c r="M562" s="3">
        <v>5.04E-2</v>
      </c>
      <c r="N562" s="17" t="s">
        <v>335</v>
      </c>
      <c r="O562" s="2">
        <v>3.1E-2</v>
      </c>
      <c r="Q562" s="5">
        <v>44818</v>
      </c>
      <c r="S562" s="4">
        <f>(Q562-B562)/365.24</f>
        <v>9.9989048297010186</v>
      </c>
      <c r="V562" s="1" t="s">
        <v>56</v>
      </c>
    </row>
    <row r="563" spans="1:22">
      <c r="A563" s="1" t="s">
        <v>496</v>
      </c>
      <c r="B563" s="5">
        <v>41135</v>
      </c>
      <c r="C563" s="1" t="s">
        <v>491</v>
      </c>
      <c r="D563" s="19">
        <v>882763000</v>
      </c>
      <c r="E563" s="1" t="s">
        <v>338</v>
      </c>
      <c r="F563" s="1" t="s">
        <v>17</v>
      </c>
      <c r="G563" s="18">
        <f>G559</f>
        <v>600000000</v>
      </c>
      <c r="L563" s="18">
        <f>L562</f>
        <v>500000</v>
      </c>
      <c r="M563" s="3">
        <v>4.2000000000000003E-2</v>
      </c>
      <c r="O563" s="2"/>
      <c r="Q563" s="5">
        <v>42961</v>
      </c>
      <c r="S563" s="4">
        <f>(Q563-B563)/365.24</f>
        <v>4.9994524148505093</v>
      </c>
    </row>
    <row r="564" spans="1:22">
      <c r="A564" s="1" t="s">
        <v>495</v>
      </c>
      <c r="B564" s="5">
        <v>41044</v>
      </c>
      <c r="C564" s="1" t="s">
        <v>491</v>
      </c>
      <c r="D564" s="19">
        <v>882763000</v>
      </c>
      <c r="E564" s="1" t="s">
        <v>338</v>
      </c>
      <c r="F564" s="1" t="s">
        <v>5</v>
      </c>
      <c r="G564" s="18">
        <f>G563</f>
        <v>600000000</v>
      </c>
      <c r="L564" s="18">
        <f>L561</f>
        <v>1000000</v>
      </c>
      <c r="M564" s="3">
        <v>3.56E-2</v>
      </c>
      <c r="N564" s="17" t="s">
        <v>335</v>
      </c>
      <c r="O564" s="2">
        <v>1.2500000000000001E-2</v>
      </c>
      <c r="Q564" s="5">
        <v>42272</v>
      </c>
      <c r="S564" s="4">
        <f>(Q564-B564)/365.24</f>
        <v>3.3621728178731791</v>
      </c>
    </row>
    <row r="565" spans="1:22">
      <c r="A565" s="1" t="s">
        <v>494</v>
      </c>
      <c r="B565" s="5">
        <v>40870</v>
      </c>
      <c r="C565" s="1" t="s">
        <v>491</v>
      </c>
      <c r="D565" s="19">
        <v>889172000</v>
      </c>
      <c r="E565" s="1" t="s">
        <v>338</v>
      </c>
      <c r="F565" s="1" t="s">
        <v>17</v>
      </c>
      <c r="G565" s="18">
        <f>G564</f>
        <v>600000000</v>
      </c>
      <c r="L565" s="18">
        <f>L563</f>
        <v>500000</v>
      </c>
      <c r="M565" s="3">
        <v>4.4699999999999997E-2</v>
      </c>
      <c r="O565" s="2"/>
      <c r="Q565" s="5">
        <v>42331</v>
      </c>
      <c r="S565" s="4">
        <f>(Q565-B565)/365.24</f>
        <v>4.0001095170298981</v>
      </c>
    </row>
    <row r="566" spans="1:22">
      <c r="A566" s="1" t="s">
        <v>493</v>
      </c>
      <c r="B566" s="5">
        <v>40863</v>
      </c>
      <c r="C566" s="1" t="s">
        <v>491</v>
      </c>
      <c r="D566" s="19">
        <v>889172000</v>
      </c>
      <c r="E566" s="1" t="s">
        <v>338</v>
      </c>
      <c r="F566" s="1" t="s">
        <v>5</v>
      </c>
      <c r="G566" s="18">
        <f>G565</f>
        <v>600000000</v>
      </c>
      <c r="L566" s="18">
        <f>L565</f>
        <v>500000</v>
      </c>
      <c r="M566" s="3">
        <v>4.3299999999999998E-2</v>
      </c>
      <c r="N566" s="17" t="s">
        <v>335</v>
      </c>
      <c r="O566" s="2">
        <v>1.2999999999999999E-2</v>
      </c>
      <c r="Q566" s="5">
        <v>42051</v>
      </c>
      <c r="S566" s="4">
        <f>(Q566-B566)/365.24</f>
        <v>3.25265578797503</v>
      </c>
    </row>
    <row r="567" spans="1:22">
      <c r="A567" s="1" t="s">
        <v>492</v>
      </c>
      <c r="B567" s="5">
        <v>40704</v>
      </c>
      <c r="C567" s="1" t="s">
        <v>491</v>
      </c>
      <c r="D567" s="19">
        <v>889172000</v>
      </c>
      <c r="E567" s="1" t="s">
        <v>338</v>
      </c>
      <c r="F567" s="1" t="s">
        <v>17</v>
      </c>
      <c r="G567" s="18">
        <f>G566</f>
        <v>600000000</v>
      </c>
      <c r="L567" s="18">
        <f>L566</f>
        <v>500000</v>
      </c>
      <c r="M567" s="3">
        <v>0.05</v>
      </c>
      <c r="O567" s="2"/>
      <c r="Q567" s="5">
        <v>42531</v>
      </c>
      <c r="S567" s="4">
        <f>(Q567-B567)/365.24</f>
        <v>5.0021903405979629</v>
      </c>
    </row>
    <row r="568" spans="1:22">
      <c r="A568" s="1" t="s">
        <v>490</v>
      </c>
      <c r="B568" s="5">
        <v>41667</v>
      </c>
      <c r="C568" s="1" t="s">
        <v>481</v>
      </c>
      <c r="D568" s="19"/>
      <c r="E568" s="1" t="s">
        <v>338</v>
      </c>
      <c r="F568" s="1" t="s">
        <v>5</v>
      </c>
      <c r="G568" s="18">
        <f>G567</f>
        <v>600000000</v>
      </c>
      <c r="L568" s="18">
        <f>L564</f>
        <v>1000000</v>
      </c>
      <c r="M568" s="3">
        <v>2.35E-2</v>
      </c>
      <c r="N568" s="17" t="s">
        <v>335</v>
      </c>
      <c r="O568" s="2">
        <v>7.0000000000000001E-3</v>
      </c>
      <c r="Q568" s="5">
        <v>43493</v>
      </c>
      <c r="S568" s="4">
        <f>(Q568-B568)/365.24</f>
        <v>4.9994524148505093</v>
      </c>
    </row>
    <row r="569" spans="1:22">
      <c r="A569" s="1" t="s">
        <v>489</v>
      </c>
      <c r="B569" s="5">
        <v>41547</v>
      </c>
      <c r="C569" s="1" t="s">
        <v>481</v>
      </c>
      <c r="D569" s="19"/>
      <c r="E569" s="1" t="s">
        <v>338</v>
      </c>
      <c r="F569" s="1" t="s">
        <v>5</v>
      </c>
      <c r="G569" s="18">
        <f>G548</f>
        <v>300000000</v>
      </c>
      <c r="L569" s="18">
        <f>L568</f>
        <v>1000000</v>
      </c>
      <c r="M569" s="3">
        <v>2.24E-2</v>
      </c>
      <c r="N569" s="17" t="s">
        <v>335</v>
      </c>
      <c r="O569" s="2">
        <v>5.4000000000000003E-3</v>
      </c>
      <c r="Q569" s="5">
        <v>42475</v>
      </c>
      <c r="S569" s="4">
        <f>(Q569-B569)/365.24</f>
        <v>2.5407950936370605</v>
      </c>
    </row>
    <row r="570" spans="1:22">
      <c r="A570" s="1" t="s">
        <v>488</v>
      </c>
      <c r="B570" s="5">
        <v>41529</v>
      </c>
      <c r="C570" s="1" t="s">
        <v>481</v>
      </c>
      <c r="D570" s="19"/>
      <c r="E570" s="1" t="s">
        <v>338</v>
      </c>
      <c r="F570" s="1" t="s">
        <v>5</v>
      </c>
      <c r="G570" s="18">
        <f>G568</f>
        <v>600000000</v>
      </c>
      <c r="L570" s="18">
        <f>L569</f>
        <v>1000000</v>
      </c>
      <c r="M570" s="3">
        <v>2.6100000000000002E-2</v>
      </c>
      <c r="N570" s="17" t="s">
        <v>335</v>
      </c>
      <c r="O570" s="2">
        <v>8.6E-3</v>
      </c>
      <c r="Q570" s="5">
        <v>43355</v>
      </c>
      <c r="S570" s="4">
        <f>(Q570-B570)/365.24</f>
        <v>4.9994524148505093</v>
      </c>
    </row>
    <row r="571" spans="1:22">
      <c r="A571" s="1" t="s">
        <v>487</v>
      </c>
      <c r="B571" s="5">
        <v>41402</v>
      </c>
      <c r="C571" s="1" t="s">
        <v>481</v>
      </c>
      <c r="D571" s="19"/>
      <c r="E571" s="1" t="s">
        <v>338</v>
      </c>
      <c r="F571" s="1" t="s">
        <v>5</v>
      </c>
      <c r="G571" s="18">
        <f>G570</f>
        <v>600000000</v>
      </c>
      <c r="L571" s="18">
        <f>L570</f>
        <v>1000000</v>
      </c>
      <c r="M571" s="3">
        <v>2.6100000000000002E-2</v>
      </c>
      <c r="N571" s="17" t="s">
        <v>335</v>
      </c>
      <c r="O571" s="2">
        <v>8.8000000000000005E-3</v>
      </c>
      <c r="Q571" s="5">
        <v>43228</v>
      </c>
      <c r="S571" s="4">
        <f>(Q571-B571)/365.24</f>
        <v>4.9994524148505093</v>
      </c>
    </row>
    <row r="572" spans="1:22">
      <c r="A572" s="1" t="s">
        <v>486</v>
      </c>
      <c r="B572" s="5">
        <v>41264</v>
      </c>
      <c r="C572" s="1" t="s">
        <v>481</v>
      </c>
      <c r="D572" s="19"/>
      <c r="E572" s="1" t="s">
        <v>338</v>
      </c>
      <c r="F572" s="1" t="s">
        <v>5</v>
      </c>
      <c r="G572" s="18">
        <f>G546</f>
        <v>500000000</v>
      </c>
      <c r="L572" s="18">
        <f>L571</f>
        <v>1000000</v>
      </c>
      <c r="M572" s="3">
        <v>2.7199999999999998E-2</v>
      </c>
      <c r="N572" s="17" t="s">
        <v>335</v>
      </c>
      <c r="O572" s="2">
        <v>8.5000000000000006E-3</v>
      </c>
      <c r="Q572" s="5">
        <v>42359</v>
      </c>
      <c r="S572" s="4">
        <f>(Q572-B572)/365.24</f>
        <v>2.9980286934618334</v>
      </c>
    </row>
    <row r="573" spans="1:22">
      <c r="A573" s="1" t="s">
        <v>485</v>
      </c>
      <c r="B573" s="5">
        <v>41229</v>
      </c>
      <c r="C573" s="1" t="s">
        <v>481</v>
      </c>
      <c r="D573" s="19"/>
      <c r="E573" s="1" t="s">
        <v>338</v>
      </c>
      <c r="F573" s="1" t="s">
        <v>5</v>
      </c>
      <c r="G573" s="18">
        <f>G571</f>
        <v>600000000</v>
      </c>
      <c r="L573" s="18">
        <f>L572</f>
        <v>1000000</v>
      </c>
      <c r="M573" s="3">
        <v>3.2399999999999998E-2</v>
      </c>
      <c r="N573" s="17" t="s">
        <v>335</v>
      </c>
      <c r="O573" s="2">
        <v>1.2800000000000001E-2</v>
      </c>
      <c r="Q573" s="5">
        <v>43055</v>
      </c>
      <c r="S573" s="4">
        <f>(Q573-B573)/365.24</f>
        <v>4.9994524148505093</v>
      </c>
    </row>
    <row r="574" spans="1:22">
      <c r="A574" s="1" t="s">
        <v>484</v>
      </c>
      <c r="B574" s="5">
        <v>40970</v>
      </c>
      <c r="C574" s="1" t="s">
        <v>481</v>
      </c>
      <c r="D574" s="19"/>
      <c r="E574" s="1" t="s">
        <v>338</v>
      </c>
      <c r="F574" s="1" t="s">
        <v>5</v>
      </c>
      <c r="G574" s="18">
        <f>G572</f>
        <v>500000000</v>
      </c>
      <c r="L574" s="18">
        <f>L567</f>
        <v>500000</v>
      </c>
      <c r="M574" s="3">
        <v>4.36E-2</v>
      </c>
      <c r="N574" s="17" t="s">
        <v>335</v>
      </c>
      <c r="O574" s="2">
        <v>1.7000000000000001E-2</v>
      </c>
      <c r="Q574" s="5">
        <v>42796</v>
      </c>
      <c r="S574" s="4">
        <f>(Q574-B574)/365.24</f>
        <v>4.9994524148505093</v>
      </c>
    </row>
    <row r="575" spans="1:22">
      <c r="A575" s="1" t="s">
        <v>483</v>
      </c>
      <c r="B575" s="5">
        <v>40795</v>
      </c>
      <c r="C575" s="1" t="s">
        <v>481</v>
      </c>
      <c r="D575" s="19"/>
      <c r="E575" s="1" t="s">
        <v>338</v>
      </c>
      <c r="F575" s="1" t="s">
        <v>5</v>
      </c>
      <c r="G575" s="18">
        <f>G551</f>
        <v>200000000</v>
      </c>
      <c r="L575" s="18">
        <f>L574</f>
        <v>500000</v>
      </c>
      <c r="M575" s="3">
        <v>4.48E-2</v>
      </c>
      <c r="N575" s="17" t="s">
        <v>335</v>
      </c>
      <c r="O575" s="2">
        <v>1.4500000000000001E-2</v>
      </c>
      <c r="Q575" s="5">
        <v>42622</v>
      </c>
      <c r="S575" s="4">
        <f>(Q575-B575)/365.24</f>
        <v>5.0021903405979629</v>
      </c>
    </row>
    <row r="576" spans="1:22">
      <c r="A576" s="1" t="s">
        <v>482</v>
      </c>
      <c r="B576" s="5">
        <v>40632</v>
      </c>
      <c r="C576" s="1" t="s">
        <v>481</v>
      </c>
      <c r="D576" s="19"/>
      <c r="E576" s="1" t="s">
        <v>338</v>
      </c>
      <c r="F576" s="1" t="s">
        <v>5</v>
      </c>
      <c r="G576" s="18">
        <f>G569</f>
        <v>300000000</v>
      </c>
      <c r="L576" s="18">
        <f>L575</f>
        <v>500000</v>
      </c>
      <c r="M576" s="3">
        <v>3.39E-2</v>
      </c>
      <c r="N576" s="17" t="s">
        <v>335</v>
      </c>
      <c r="O576" s="2">
        <v>7.4999999999999997E-3</v>
      </c>
      <c r="Q576" s="5">
        <v>41726</v>
      </c>
      <c r="S576" s="4">
        <f>(Q576-B576)/365.24</f>
        <v>2.9952907677143794</v>
      </c>
    </row>
    <row r="577" spans="1:19">
      <c r="A577" s="1" t="s">
        <v>480</v>
      </c>
      <c r="B577" s="5">
        <v>41408</v>
      </c>
      <c r="C577" s="1" t="s">
        <v>473</v>
      </c>
      <c r="D577" s="19">
        <v>310211000</v>
      </c>
      <c r="E577" s="1" t="s">
        <v>338</v>
      </c>
      <c r="F577" s="1" t="s">
        <v>5</v>
      </c>
      <c r="G577" s="18">
        <f>G576</f>
        <v>300000000</v>
      </c>
      <c r="L577" s="18">
        <f>L576</f>
        <v>500000</v>
      </c>
      <c r="M577" s="3">
        <v>2.75E-2</v>
      </c>
      <c r="N577" s="17" t="s">
        <v>335</v>
      </c>
      <c r="O577" s="2">
        <v>9.7000000000000003E-3</v>
      </c>
      <c r="Q577" s="5">
        <v>43234</v>
      </c>
      <c r="S577" s="4">
        <f>(Q577-B577)/365.24</f>
        <v>4.9994524148505093</v>
      </c>
    </row>
    <row r="578" spans="1:19">
      <c r="A578" s="1" t="s">
        <v>479</v>
      </c>
      <c r="B578" s="5">
        <v>41247</v>
      </c>
      <c r="C578" s="1" t="s">
        <v>473</v>
      </c>
      <c r="D578" s="19">
        <v>298231000</v>
      </c>
      <c r="E578" s="1" t="s">
        <v>338</v>
      </c>
      <c r="F578" s="1" t="s">
        <v>17</v>
      </c>
      <c r="G578" s="18">
        <f>G577</f>
        <v>300000000</v>
      </c>
      <c r="L578" s="18">
        <f>L577</f>
        <v>500000</v>
      </c>
      <c r="M578" s="3">
        <v>3.6499999999999998E-2</v>
      </c>
      <c r="O578" s="2"/>
      <c r="Q578" s="5">
        <v>43073</v>
      </c>
      <c r="S578" s="4">
        <f>(Q578-B578)/365.24</f>
        <v>4.9994524148505093</v>
      </c>
    </row>
    <row r="579" spans="1:19">
      <c r="A579" s="1" t="s">
        <v>478</v>
      </c>
      <c r="B579" s="5">
        <v>41236</v>
      </c>
      <c r="C579" s="1" t="s">
        <v>473</v>
      </c>
      <c r="D579" s="19">
        <v>298231000</v>
      </c>
      <c r="E579" s="1" t="s">
        <v>338</v>
      </c>
      <c r="F579" s="1" t="s">
        <v>5</v>
      </c>
      <c r="G579" s="18">
        <f>G578</f>
        <v>300000000</v>
      </c>
      <c r="L579" s="18">
        <f>L573</f>
        <v>1000000</v>
      </c>
      <c r="M579" s="3">
        <v>3.27E-2</v>
      </c>
      <c r="N579" s="17" t="s">
        <v>335</v>
      </c>
      <c r="O579" s="2">
        <v>1.32E-2</v>
      </c>
      <c r="Q579" s="5">
        <v>43062</v>
      </c>
      <c r="S579" s="4">
        <f>(Q579-B579)/365.24</f>
        <v>4.9994524148505093</v>
      </c>
    </row>
    <row r="580" spans="1:19">
      <c r="A580" s="1" t="s">
        <v>477</v>
      </c>
      <c r="B580" s="5">
        <v>41142</v>
      </c>
      <c r="C580" s="1" t="s">
        <v>473</v>
      </c>
      <c r="D580" s="19">
        <v>298231000</v>
      </c>
      <c r="E580" s="1" t="s">
        <v>338</v>
      </c>
      <c r="F580" s="1" t="s">
        <v>17</v>
      </c>
      <c r="G580" s="18">
        <f>G579</f>
        <v>300000000</v>
      </c>
      <c r="L580" s="18">
        <f>L578</f>
        <v>500000</v>
      </c>
      <c r="M580" s="3">
        <v>4.2500000000000003E-2</v>
      </c>
      <c r="O580" s="2"/>
      <c r="Q580" s="5">
        <v>42968</v>
      </c>
      <c r="S580" s="4">
        <f>(Q580-B580)/365.24</f>
        <v>4.9994524148505093</v>
      </c>
    </row>
    <row r="581" spans="1:19">
      <c r="A581" s="1" t="s">
        <v>476</v>
      </c>
      <c r="B581" s="5">
        <v>41142</v>
      </c>
      <c r="C581" s="1" t="s">
        <v>473</v>
      </c>
      <c r="D581" s="19">
        <v>298231000</v>
      </c>
      <c r="E581" s="1" t="s">
        <v>338</v>
      </c>
      <c r="F581" s="1" t="s">
        <v>5</v>
      </c>
      <c r="G581" s="18">
        <f>G580</f>
        <v>300000000</v>
      </c>
      <c r="L581" s="18">
        <f>L580</f>
        <v>500000</v>
      </c>
      <c r="M581" s="3">
        <v>3.8300000000000001E-2</v>
      </c>
      <c r="N581" s="17" t="s">
        <v>335</v>
      </c>
      <c r="O581" s="2">
        <v>1.7399999999999999E-2</v>
      </c>
      <c r="Q581" s="5">
        <v>42968</v>
      </c>
      <c r="S581" s="4">
        <f>(Q581-B581)/365.24</f>
        <v>4.9994524148505093</v>
      </c>
    </row>
    <row r="582" spans="1:19">
      <c r="A582" s="1" t="s">
        <v>475</v>
      </c>
      <c r="B582" s="5">
        <v>41066</v>
      </c>
      <c r="C582" s="1" t="s">
        <v>473</v>
      </c>
      <c r="D582" s="19">
        <v>298231000</v>
      </c>
      <c r="E582" s="1" t="s">
        <v>338</v>
      </c>
      <c r="F582" s="1" t="s">
        <v>5</v>
      </c>
      <c r="G582" s="18">
        <f>G574</f>
        <v>500000000</v>
      </c>
      <c r="L582" s="18">
        <f>L581</f>
        <v>500000</v>
      </c>
      <c r="M582" s="3">
        <v>4.1399999999999999E-2</v>
      </c>
      <c r="N582" s="17" t="s">
        <v>335</v>
      </c>
      <c r="O582" s="2">
        <v>1.8200000000000001E-2</v>
      </c>
      <c r="Q582" s="5">
        <v>42527</v>
      </c>
      <c r="S582" s="4">
        <f>(Q582-B582)/365.24</f>
        <v>4.0001095170298981</v>
      </c>
    </row>
    <row r="583" spans="1:19">
      <c r="A583" s="1" t="s">
        <v>474</v>
      </c>
      <c r="B583" s="5">
        <v>40675</v>
      </c>
      <c r="C583" s="1" t="s">
        <v>473</v>
      </c>
      <c r="D583" s="19">
        <v>265218000</v>
      </c>
      <c r="E583" s="1" t="s">
        <v>338</v>
      </c>
      <c r="F583" s="1" t="s">
        <v>5</v>
      </c>
      <c r="G583" s="18">
        <f>G581</f>
        <v>300000000</v>
      </c>
      <c r="L583" s="18">
        <f>L582</f>
        <v>500000</v>
      </c>
      <c r="M583" s="3">
        <v>3.4799999999999998E-2</v>
      </c>
      <c r="N583" s="17" t="s">
        <v>335</v>
      </c>
      <c r="O583" s="2">
        <v>8.5000000000000006E-3</v>
      </c>
      <c r="Q583" s="5">
        <v>41955</v>
      </c>
      <c r="S583" s="4">
        <f>(Q583-B583)/365.24</f>
        <v>3.5045449567407729</v>
      </c>
    </row>
    <row r="584" spans="1:19">
      <c r="A584" s="1" t="s">
        <v>472</v>
      </c>
      <c r="B584" s="5">
        <v>41416</v>
      </c>
      <c r="C584" s="20" t="s">
        <v>466</v>
      </c>
      <c r="D584" s="19">
        <v>332268000</v>
      </c>
      <c r="E584" s="1" t="s">
        <v>338</v>
      </c>
      <c r="F584" s="1" t="s">
        <v>468</v>
      </c>
      <c r="G584" s="18">
        <v>2000000000</v>
      </c>
      <c r="L584" s="18">
        <f>L579</f>
        <v>1000000</v>
      </c>
      <c r="M584" s="3">
        <v>0.04</v>
      </c>
      <c r="O584" s="2"/>
      <c r="Q584" s="5">
        <v>46895</v>
      </c>
      <c r="R584" s="5">
        <v>47260</v>
      </c>
      <c r="S584" s="4">
        <f>(Q584-B584)/365.24</f>
        <v>15.001095170298981</v>
      </c>
    </row>
    <row r="585" spans="1:19">
      <c r="A585" s="1" t="s">
        <v>471</v>
      </c>
      <c r="B585" s="5">
        <v>41389</v>
      </c>
      <c r="C585" s="20" t="s">
        <v>466</v>
      </c>
      <c r="D585" s="19">
        <v>332268000</v>
      </c>
      <c r="E585" s="1" t="s">
        <v>338</v>
      </c>
      <c r="F585" s="1" t="s">
        <v>468</v>
      </c>
      <c r="G585" s="18">
        <v>2500000000</v>
      </c>
      <c r="L585" s="18">
        <f>L584</f>
        <v>1000000</v>
      </c>
      <c r="M585" s="3">
        <v>3.9E-2</v>
      </c>
      <c r="O585" s="2"/>
      <c r="Q585" s="5">
        <v>45826</v>
      </c>
      <c r="R585" s="5">
        <v>46191</v>
      </c>
      <c r="S585" s="4">
        <f>(Q585-B585)/365.24</f>
        <v>12.148176541452196</v>
      </c>
    </row>
    <row r="586" spans="1:19">
      <c r="A586" s="1" t="s">
        <v>470</v>
      </c>
      <c r="B586" s="5">
        <v>41205</v>
      </c>
      <c r="C586" s="20" t="s">
        <v>466</v>
      </c>
      <c r="D586" s="19">
        <v>320884000</v>
      </c>
      <c r="E586" s="1" t="s">
        <v>338</v>
      </c>
      <c r="F586" s="1" t="s">
        <v>33</v>
      </c>
      <c r="G586" s="18">
        <f>G584</f>
        <v>2000000000</v>
      </c>
      <c r="L586" s="18">
        <f>L585</f>
        <v>1000000</v>
      </c>
      <c r="M586" s="3">
        <v>2.63E-2</v>
      </c>
      <c r="N586" s="17" t="s">
        <v>335</v>
      </c>
      <c r="O586" s="2">
        <v>7.4999999999999997E-3</v>
      </c>
      <c r="Q586" s="5">
        <v>42907</v>
      </c>
      <c r="R586" s="5">
        <v>43272</v>
      </c>
      <c r="S586" s="4">
        <f>(Q586-B586)/365.24</f>
        <v>4.6599496221662466</v>
      </c>
    </row>
    <row r="587" spans="1:19">
      <c r="A587" s="1" t="s">
        <v>469</v>
      </c>
      <c r="B587" s="5">
        <v>41011</v>
      </c>
      <c r="C587" s="20" t="s">
        <v>466</v>
      </c>
      <c r="D587" s="19">
        <v>320884000</v>
      </c>
      <c r="E587" s="1" t="s">
        <v>338</v>
      </c>
      <c r="F587" s="1" t="s">
        <v>468</v>
      </c>
      <c r="G587" s="18">
        <f>G586</f>
        <v>2000000000</v>
      </c>
      <c r="L587" s="18">
        <f>L586</f>
        <v>1000000</v>
      </c>
      <c r="M587" s="3">
        <v>4.3499999999999997E-2</v>
      </c>
      <c r="O587" s="2"/>
      <c r="Q587" s="5">
        <v>43636</v>
      </c>
      <c r="R587" s="5">
        <v>44004</v>
      </c>
      <c r="S587" s="4">
        <f>(Q587-B587)/365.24</f>
        <v>7.1870550870660388</v>
      </c>
    </row>
    <row r="588" spans="1:19">
      <c r="A588" s="1" t="s">
        <v>467</v>
      </c>
      <c r="B588" s="5">
        <v>40724</v>
      </c>
      <c r="C588" s="20" t="s">
        <v>466</v>
      </c>
      <c r="D588" s="19">
        <v>269148000</v>
      </c>
      <c r="E588" s="1" t="s">
        <v>338</v>
      </c>
      <c r="F588" s="1" t="s">
        <v>33</v>
      </c>
      <c r="G588" s="18">
        <f>G587</f>
        <v>2000000000</v>
      </c>
      <c r="L588" s="18">
        <f>L583</f>
        <v>500000</v>
      </c>
      <c r="M588" s="3">
        <v>3.5700000000000003E-2</v>
      </c>
      <c r="N588" s="17" t="s">
        <v>335</v>
      </c>
      <c r="O588" s="2">
        <v>6.4999999999999997E-3</v>
      </c>
      <c r="Q588" s="5">
        <v>42185</v>
      </c>
      <c r="R588" s="5">
        <v>42551</v>
      </c>
      <c r="S588" s="4">
        <f>(Q588-B588)/365.24</f>
        <v>4.0001095170298981</v>
      </c>
    </row>
    <row r="589" spans="1:19">
      <c r="A589" s="1" t="s">
        <v>465</v>
      </c>
      <c r="B589" s="5">
        <v>41687</v>
      </c>
      <c r="C589" s="20" t="s">
        <v>453</v>
      </c>
      <c r="D589" s="19"/>
      <c r="E589" s="1" t="s">
        <v>338</v>
      </c>
      <c r="F589" s="1" t="s">
        <v>5</v>
      </c>
      <c r="G589" s="18">
        <f>G488</f>
        <v>750000000</v>
      </c>
      <c r="L589" s="18">
        <f>L587</f>
        <v>1000000</v>
      </c>
      <c r="M589" s="3">
        <v>2.1000000000000001E-2</v>
      </c>
      <c r="N589" s="17" t="s">
        <v>335</v>
      </c>
      <c r="O589" s="2">
        <v>4.0000000000000001E-3</v>
      </c>
      <c r="Q589" s="5">
        <v>42783</v>
      </c>
      <c r="S589" s="4">
        <f>(Q589-B589)/365.24</f>
        <v>3.000766619209287</v>
      </c>
    </row>
    <row r="590" spans="1:19">
      <c r="A590" s="1" t="s">
        <v>464</v>
      </c>
      <c r="B590" s="5">
        <v>41680</v>
      </c>
      <c r="C590" s="20" t="s">
        <v>453</v>
      </c>
      <c r="D590" s="19"/>
      <c r="E590" s="1" t="s">
        <v>338</v>
      </c>
      <c r="F590" s="1" t="s">
        <v>5</v>
      </c>
      <c r="G590" s="18">
        <f>G589</f>
        <v>750000000</v>
      </c>
      <c r="L590" s="18">
        <f>L589</f>
        <v>1000000</v>
      </c>
      <c r="M590" s="3">
        <v>2.3300000000000001E-2</v>
      </c>
      <c r="N590" s="17" t="s">
        <v>335</v>
      </c>
      <c r="O590" s="2">
        <v>6.3E-3</v>
      </c>
      <c r="Q590" s="5">
        <v>43438</v>
      </c>
      <c r="S590" s="4">
        <f>(Q590-B590)/365.24</f>
        <v>4.8132734640236556</v>
      </c>
    </row>
    <row r="591" spans="1:19">
      <c r="A591" s="1" t="s">
        <v>463</v>
      </c>
      <c r="B591" s="5">
        <v>41596</v>
      </c>
      <c r="C591" s="20" t="s">
        <v>453</v>
      </c>
      <c r="D591" s="19">
        <v>2062000000</v>
      </c>
      <c r="E591" s="1" t="s">
        <v>338</v>
      </c>
      <c r="F591" s="1" t="s">
        <v>17</v>
      </c>
      <c r="G591" s="18">
        <f>G590</f>
        <v>750000000</v>
      </c>
      <c r="L591" s="18">
        <f>L590</f>
        <v>1000000</v>
      </c>
      <c r="M591" s="3">
        <v>4.0500000000000001E-2</v>
      </c>
      <c r="O591" s="2"/>
      <c r="Q591" s="5">
        <v>44883</v>
      </c>
      <c r="S591" s="4">
        <f>(Q591-B591)/365.24</f>
        <v>8.9995619318804074</v>
      </c>
    </row>
    <row r="592" spans="1:19">
      <c r="A592" s="1" t="s">
        <v>462</v>
      </c>
      <c r="B592" s="5">
        <v>41583</v>
      </c>
      <c r="C592" s="20" t="s">
        <v>453</v>
      </c>
      <c r="D592" s="19">
        <v>2062000000</v>
      </c>
      <c r="E592" s="1" t="s">
        <v>338</v>
      </c>
      <c r="F592" s="1" t="s">
        <v>17</v>
      </c>
      <c r="G592" s="18">
        <f>G591</f>
        <v>750000000</v>
      </c>
      <c r="L592" s="18">
        <f>L591</f>
        <v>1000000</v>
      </c>
      <c r="M592" s="3">
        <v>3.4799999999999998E-2</v>
      </c>
      <c r="O592" s="2"/>
      <c r="Q592" s="5">
        <v>43560</v>
      </c>
      <c r="S592" s="4">
        <f>(Q592-B592)/365.24</f>
        <v>5.412879202716022</v>
      </c>
    </row>
    <row r="593" spans="1:22">
      <c r="A593" s="1" t="s">
        <v>461</v>
      </c>
      <c r="B593" s="5">
        <v>41530</v>
      </c>
      <c r="C593" s="20" t="s">
        <v>453</v>
      </c>
      <c r="D593" s="19">
        <v>2062000000</v>
      </c>
      <c r="E593" s="1" t="s">
        <v>338</v>
      </c>
      <c r="F593" s="1" t="s">
        <v>5</v>
      </c>
      <c r="G593" s="18">
        <f>G537</f>
        <v>1000000000</v>
      </c>
      <c r="L593" s="18">
        <f>L592</f>
        <v>1000000</v>
      </c>
      <c r="M593" s="3">
        <v>2.29E-2</v>
      </c>
      <c r="N593" s="17" t="s">
        <v>335</v>
      </c>
      <c r="O593" s="2">
        <v>5.3E-3</v>
      </c>
      <c r="Q593" s="5">
        <v>42648</v>
      </c>
      <c r="S593" s="4">
        <f>(Q593-B593)/365.24</f>
        <v>3.0610009856532692</v>
      </c>
    </row>
    <row r="594" spans="1:22">
      <c r="A594" s="1" t="s">
        <v>460</v>
      </c>
      <c r="B594" s="5">
        <v>41438</v>
      </c>
      <c r="C594" s="20" t="s">
        <v>453</v>
      </c>
      <c r="D594" s="19">
        <v>2062000000</v>
      </c>
      <c r="E594" s="1" t="s">
        <v>338</v>
      </c>
      <c r="F594" s="1" t="s">
        <v>5</v>
      </c>
      <c r="G594" s="18">
        <f>G582</f>
        <v>500000000</v>
      </c>
      <c r="L594" s="18">
        <f>L553</f>
        <v>100000</v>
      </c>
      <c r="M594" s="3">
        <v>3.5200000000000002E-2</v>
      </c>
      <c r="N594" s="17" t="s">
        <v>335</v>
      </c>
      <c r="O594" s="2">
        <v>1.7500000000000002E-2</v>
      </c>
      <c r="Q594" s="5">
        <v>45090</v>
      </c>
      <c r="S594" s="4">
        <f>(Q594-B594)/365.24</f>
        <v>9.9989048297010186</v>
      </c>
      <c r="V594" s="1" t="s">
        <v>56</v>
      </c>
    </row>
    <row r="595" spans="1:22">
      <c r="A595" s="1" t="s">
        <v>459</v>
      </c>
      <c r="B595" s="5">
        <v>41397</v>
      </c>
      <c r="C595" s="20" t="s">
        <v>453</v>
      </c>
      <c r="D595" s="19">
        <v>2062000000</v>
      </c>
      <c r="E595" s="1" t="s">
        <v>338</v>
      </c>
      <c r="F595" s="1" t="s">
        <v>5</v>
      </c>
      <c r="G595" s="18">
        <f>G594</f>
        <v>500000000</v>
      </c>
      <c r="L595" s="18">
        <f>L593</f>
        <v>1000000</v>
      </c>
      <c r="M595" s="3">
        <v>3.1E-2</v>
      </c>
      <c r="O595" s="2"/>
      <c r="Q595" s="5">
        <v>43500</v>
      </c>
      <c r="S595" s="4">
        <f>(Q595-B595)/365.24</f>
        <v>5.7578578468951918</v>
      </c>
    </row>
    <row r="596" spans="1:22">
      <c r="A596" s="1" t="s">
        <v>458</v>
      </c>
      <c r="B596" s="5">
        <v>41015</v>
      </c>
      <c r="C596" s="20" t="s">
        <v>453</v>
      </c>
      <c r="D596" s="19">
        <v>2037000000</v>
      </c>
      <c r="E596" s="1" t="s">
        <v>338</v>
      </c>
      <c r="F596" s="1" t="s">
        <v>5</v>
      </c>
      <c r="G596" s="18">
        <f>G592</f>
        <v>750000000</v>
      </c>
      <c r="L596" s="18">
        <f>L588</f>
        <v>500000</v>
      </c>
      <c r="M596" s="3">
        <v>2.9000000000000001E-2</v>
      </c>
      <c r="N596" s="17" t="s">
        <v>335</v>
      </c>
      <c r="O596" s="2">
        <v>1.5699999999999999E-2</v>
      </c>
      <c r="Q596" s="5">
        <v>43024</v>
      </c>
      <c r="S596" s="4">
        <f>(Q596-B596)/365.24</f>
        <v>5.5004928266345416</v>
      </c>
    </row>
    <row r="597" spans="1:22">
      <c r="A597" s="1" t="s">
        <v>457</v>
      </c>
      <c r="B597" s="5">
        <v>40959</v>
      </c>
      <c r="C597" s="20" t="s">
        <v>453</v>
      </c>
      <c r="D597" s="19">
        <v>2037000000</v>
      </c>
      <c r="E597" s="1" t="s">
        <v>338</v>
      </c>
      <c r="F597" s="1" t="s">
        <v>5</v>
      </c>
      <c r="G597" s="18">
        <f>G593</f>
        <v>1000000000</v>
      </c>
      <c r="L597" s="18">
        <f>L595</f>
        <v>1000000</v>
      </c>
      <c r="M597" s="3">
        <v>3.3700000000000001E-2</v>
      </c>
      <c r="N597" s="17" t="s">
        <v>335</v>
      </c>
      <c r="O597" s="2">
        <v>1.7000000000000001E-2</v>
      </c>
      <c r="Q597" s="5">
        <v>43151</v>
      </c>
      <c r="S597" s="4">
        <f>(Q597-B597)/365.24</f>
        <v>6.001533238418574</v>
      </c>
    </row>
    <row r="598" spans="1:22">
      <c r="A598" s="1" t="s">
        <v>456</v>
      </c>
      <c r="B598" s="5">
        <v>40834</v>
      </c>
      <c r="C598" s="20" t="s">
        <v>453</v>
      </c>
      <c r="D598" s="19">
        <v>1875000000</v>
      </c>
      <c r="E598" s="1" t="s">
        <v>338</v>
      </c>
      <c r="F598" s="1" t="s">
        <v>17</v>
      </c>
      <c r="G598" s="18">
        <f>G597</f>
        <v>1000000000</v>
      </c>
      <c r="L598" s="18">
        <f>L596</f>
        <v>500000</v>
      </c>
      <c r="M598" s="3">
        <v>4.8500000000000001E-2</v>
      </c>
      <c r="O598" s="2"/>
      <c r="Q598" s="5">
        <v>42843</v>
      </c>
      <c r="S598" s="4">
        <f>(Q598-B598)/365.24</f>
        <v>5.5004928266345416</v>
      </c>
    </row>
    <row r="599" spans="1:22">
      <c r="A599" s="1" t="s">
        <v>455</v>
      </c>
      <c r="B599" s="5">
        <v>40786</v>
      </c>
      <c r="C599" s="20" t="s">
        <v>453</v>
      </c>
      <c r="D599" s="19">
        <v>1875000000</v>
      </c>
      <c r="E599" s="1" t="s">
        <v>338</v>
      </c>
      <c r="F599" s="1" t="s">
        <v>17</v>
      </c>
      <c r="G599" s="18">
        <f>G598</f>
        <v>1000000000</v>
      </c>
      <c r="L599" s="18">
        <f>L598</f>
        <v>500000</v>
      </c>
      <c r="M599" s="3">
        <v>4.5499999999999999E-2</v>
      </c>
      <c r="O599" s="2"/>
      <c r="Q599" s="5">
        <v>42613</v>
      </c>
      <c r="S599" s="4">
        <f>(Q599-B599)/365.24</f>
        <v>5.0021903405979629</v>
      </c>
    </row>
    <row r="600" spans="1:22">
      <c r="A600" s="1" t="s">
        <v>454</v>
      </c>
      <c r="B600" s="5">
        <v>40575</v>
      </c>
      <c r="C600" s="20" t="s">
        <v>453</v>
      </c>
      <c r="D600" s="19">
        <v>1875000000</v>
      </c>
      <c r="E600" s="1" t="s">
        <v>338</v>
      </c>
      <c r="F600" s="1" t="s">
        <v>17</v>
      </c>
      <c r="G600" s="18">
        <f>G599</f>
        <v>1000000000</v>
      </c>
      <c r="L600" s="18">
        <f>L599</f>
        <v>500000</v>
      </c>
      <c r="M600" s="3">
        <v>0.05</v>
      </c>
      <c r="O600" s="2"/>
      <c r="Q600" s="5">
        <v>42416</v>
      </c>
      <c r="S600" s="4">
        <f>(Q600-B600)/365.24</f>
        <v>5.0405213010623147</v>
      </c>
    </row>
    <row r="601" spans="1:22">
      <c r="A601" s="1" t="s">
        <v>452</v>
      </c>
      <c r="B601" s="5">
        <v>41445</v>
      </c>
      <c r="C601" s="20" t="s">
        <v>449</v>
      </c>
      <c r="D601" s="19">
        <v>252241000</v>
      </c>
      <c r="E601" s="1" t="s">
        <v>338</v>
      </c>
      <c r="F601" s="1" t="s">
        <v>5</v>
      </c>
      <c r="G601" s="18">
        <f>G581</f>
        <v>300000000</v>
      </c>
      <c r="L601" s="18">
        <f>L597</f>
        <v>1000000</v>
      </c>
      <c r="M601" s="3">
        <v>2.6100000000000002E-2</v>
      </c>
      <c r="N601" s="17" t="s">
        <v>335</v>
      </c>
      <c r="O601" s="2">
        <v>8.9999999999999993E-3</v>
      </c>
      <c r="Q601" s="5">
        <v>42906</v>
      </c>
      <c r="S601" s="4">
        <f>(Q601-B601)/365.24</f>
        <v>4.0001095170298981</v>
      </c>
    </row>
    <row r="602" spans="1:22">
      <c r="A602" s="1" t="s">
        <v>451</v>
      </c>
      <c r="B602" s="5">
        <v>41445</v>
      </c>
      <c r="C602" s="20" t="s">
        <v>449</v>
      </c>
      <c r="D602" s="19">
        <v>252241000</v>
      </c>
      <c r="E602" s="1" t="s">
        <v>338</v>
      </c>
      <c r="F602" s="1" t="s">
        <v>5</v>
      </c>
      <c r="G602" s="18">
        <f>G601</f>
        <v>300000000</v>
      </c>
      <c r="L602" s="18">
        <f>L601</f>
        <v>1000000</v>
      </c>
      <c r="M602" s="3">
        <v>2.5100000000000001E-2</v>
      </c>
      <c r="N602" s="17" t="s">
        <v>335</v>
      </c>
      <c r="O602" s="2">
        <v>8.0000000000000002E-3</v>
      </c>
      <c r="Q602" s="5">
        <v>42541</v>
      </c>
      <c r="S602" s="4">
        <f>(Q602-B602)/365.24</f>
        <v>3.000766619209287</v>
      </c>
    </row>
    <row r="603" spans="1:22">
      <c r="A603" s="1" t="s">
        <v>450</v>
      </c>
      <c r="B603" s="5">
        <v>41299</v>
      </c>
      <c r="C603" s="20" t="s">
        <v>449</v>
      </c>
      <c r="D603" s="19">
        <v>252241000</v>
      </c>
      <c r="E603" s="1" t="s">
        <v>338</v>
      </c>
      <c r="F603" s="1" t="s">
        <v>5</v>
      </c>
      <c r="G603" s="18">
        <f>G602</f>
        <v>300000000</v>
      </c>
      <c r="L603" s="18">
        <f>L602</f>
        <v>1000000</v>
      </c>
      <c r="M603" s="3">
        <v>2.9700000000000001E-2</v>
      </c>
      <c r="N603" s="17" t="s">
        <v>335</v>
      </c>
      <c r="O603" s="2">
        <v>1.12E-2</v>
      </c>
      <c r="Q603" s="5">
        <v>43125</v>
      </c>
      <c r="S603" s="4">
        <f>(Q603-B603)/365.24</f>
        <v>4.9994524148505093</v>
      </c>
    </row>
    <row r="604" spans="1:22">
      <c r="A604" s="1" t="s">
        <v>448</v>
      </c>
      <c r="B604" s="5">
        <v>41396</v>
      </c>
      <c r="C604" s="20" t="s">
        <v>447</v>
      </c>
      <c r="D604" s="19">
        <v>186023000</v>
      </c>
      <c r="E604" s="1" t="s">
        <v>338</v>
      </c>
      <c r="F604" s="1" t="s">
        <v>5</v>
      </c>
      <c r="G604" s="18">
        <f>G603</f>
        <v>300000000</v>
      </c>
      <c r="L604" s="18">
        <f>L603</f>
        <v>1000000</v>
      </c>
      <c r="M604" s="3">
        <v>2.9399999999999999E-2</v>
      </c>
      <c r="N604" s="17" t="s">
        <v>335</v>
      </c>
      <c r="O604" s="2">
        <v>1.15E-2</v>
      </c>
      <c r="Q604" s="5">
        <v>43222</v>
      </c>
      <c r="S604" s="4">
        <f>(Q604-B604)/365.24</f>
        <v>4.9994524148505093</v>
      </c>
    </row>
    <row r="605" spans="1:22">
      <c r="A605" s="1" t="s">
        <v>446</v>
      </c>
      <c r="B605" s="5">
        <v>40589</v>
      </c>
      <c r="C605" s="1" t="str">
        <f>C604</f>
        <v>SpareBank 1 Gudbrandsdal</v>
      </c>
      <c r="D605" s="19">
        <v>171240000</v>
      </c>
      <c r="E605" s="1" t="s">
        <v>338</v>
      </c>
      <c r="F605" s="1" t="s">
        <v>5</v>
      </c>
      <c r="G605" s="18">
        <f>G604</f>
        <v>300000000</v>
      </c>
      <c r="L605" s="18">
        <f>L600</f>
        <v>500000</v>
      </c>
      <c r="M605" s="3">
        <v>3.9100000000000003E-2</v>
      </c>
      <c r="N605" s="17" t="s">
        <v>335</v>
      </c>
      <c r="O605" s="2">
        <v>1.2800000000000001E-2</v>
      </c>
      <c r="Q605" s="5">
        <v>42415</v>
      </c>
      <c r="S605" s="4">
        <f>(Q605-B605)/365.24</f>
        <v>4.9994524148505093</v>
      </c>
    </row>
    <row r="606" spans="1:22">
      <c r="A606" s="1" t="s">
        <v>445</v>
      </c>
      <c r="B606" s="5">
        <v>41438</v>
      </c>
      <c r="C606" s="20" t="s">
        <v>440</v>
      </c>
      <c r="D606" s="19">
        <v>111893000</v>
      </c>
      <c r="E606" s="1" t="s">
        <v>338</v>
      </c>
      <c r="F606" s="1" t="s">
        <v>5</v>
      </c>
      <c r="G606" s="18">
        <f>G562</f>
        <v>150000000</v>
      </c>
      <c r="L606" s="18">
        <f>L604</f>
        <v>1000000</v>
      </c>
      <c r="M606" s="3">
        <v>2.9000000000000001E-2</v>
      </c>
      <c r="N606" s="17" t="s">
        <v>335</v>
      </c>
      <c r="O606" s="2">
        <v>1.1299999999999999E-2</v>
      </c>
      <c r="Q606" s="5">
        <v>43264</v>
      </c>
      <c r="S606" s="4">
        <f>(Q606-B606)/365.24</f>
        <v>4.9994524148505093</v>
      </c>
    </row>
    <row r="607" spans="1:22">
      <c r="A607" s="1" t="s">
        <v>444</v>
      </c>
      <c r="B607" s="5">
        <v>41243</v>
      </c>
      <c r="C607" s="20" t="s">
        <v>440</v>
      </c>
      <c r="D607" s="19">
        <v>105093000</v>
      </c>
      <c r="E607" s="1" t="s">
        <v>338</v>
      </c>
      <c r="F607" s="1" t="s">
        <v>5</v>
      </c>
      <c r="G607" s="18">
        <f>G561</f>
        <v>100000000</v>
      </c>
      <c r="L607" s="18">
        <f>L606</f>
        <v>1000000</v>
      </c>
      <c r="M607" s="3">
        <v>2.7099999999999999E-2</v>
      </c>
      <c r="N607" s="17" t="s">
        <v>335</v>
      </c>
      <c r="O607" s="2">
        <v>8.0000000000000002E-3</v>
      </c>
      <c r="Q607" s="5">
        <v>41880</v>
      </c>
      <c r="S607" s="4">
        <f>(Q607-B607)/365.24</f>
        <v>1.7440587011280253</v>
      </c>
    </row>
    <row r="608" spans="1:22">
      <c r="A608" s="1" t="s">
        <v>443</v>
      </c>
      <c r="B608" s="5">
        <v>41215</v>
      </c>
      <c r="C608" s="20" t="s">
        <v>440</v>
      </c>
      <c r="D608" s="19">
        <v>105093000</v>
      </c>
      <c r="E608" s="1" t="s">
        <v>338</v>
      </c>
      <c r="F608" s="1" t="s">
        <v>5</v>
      </c>
      <c r="G608" s="18">
        <f>G606</f>
        <v>150000000</v>
      </c>
      <c r="L608" s="18">
        <f>L594</f>
        <v>100000</v>
      </c>
      <c r="M608" s="3">
        <v>2.87E-2</v>
      </c>
      <c r="N608" s="17" t="s">
        <v>335</v>
      </c>
      <c r="O608" s="2">
        <v>0.01</v>
      </c>
      <c r="Q608" s="5">
        <v>42037</v>
      </c>
      <c r="S608" s="4">
        <f>(Q608-B608)/365.24</f>
        <v>2.2505749644069653</v>
      </c>
    </row>
    <row r="609" spans="1:22">
      <c r="A609" s="1" t="s">
        <v>442</v>
      </c>
      <c r="B609" s="5">
        <v>41086</v>
      </c>
      <c r="C609" s="20" t="s">
        <v>440</v>
      </c>
      <c r="D609" s="19">
        <v>105093000</v>
      </c>
      <c r="E609" s="1" t="s">
        <v>338</v>
      </c>
      <c r="F609" s="1" t="s">
        <v>5</v>
      </c>
      <c r="G609" s="18">
        <v>250000000</v>
      </c>
      <c r="L609" s="18">
        <f>L605</f>
        <v>500000</v>
      </c>
      <c r="M609" s="3">
        <v>4.3400000000000001E-2</v>
      </c>
      <c r="N609" s="17" t="s">
        <v>335</v>
      </c>
      <c r="O609" s="2">
        <v>0.02</v>
      </c>
      <c r="Q609" s="5">
        <v>42639</v>
      </c>
      <c r="S609" s="4">
        <f>(Q609-B609)/365.24</f>
        <v>4.2519986857956411</v>
      </c>
    </row>
    <row r="610" spans="1:22">
      <c r="A610" s="1" t="s">
        <v>441</v>
      </c>
      <c r="B610" s="5">
        <v>40989</v>
      </c>
      <c r="C610" s="20" t="s">
        <v>440</v>
      </c>
      <c r="D610" s="19">
        <v>105093000</v>
      </c>
      <c r="E610" s="1" t="s">
        <v>338</v>
      </c>
      <c r="F610" s="1" t="s">
        <v>5</v>
      </c>
      <c r="G610" s="18">
        <f>G608</f>
        <v>150000000</v>
      </c>
      <c r="L610" s="18">
        <f>L609</f>
        <v>500000</v>
      </c>
      <c r="M610" s="3">
        <v>0.04</v>
      </c>
      <c r="N610" s="17" t="s">
        <v>335</v>
      </c>
      <c r="O610" s="2">
        <v>1.7000000000000001E-2</v>
      </c>
      <c r="Q610" s="5">
        <v>42450</v>
      </c>
      <c r="S610" s="4">
        <f>(Q610-B610)/365.24</f>
        <v>4.0001095170298981</v>
      </c>
    </row>
    <row r="611" spans="1:22">
      <c r="A611" s="1" t="s">
        <v>439</v>
      </c>
      <c r="B611" s="5">
        <v>41596</v>
      </c>
      <c r="C611" s="1" t="s">
        <v>438</v>
      </c>
      <c r="D611" s="19">
        <v>3177729000</v>
      </c>
      <c r="E611" s="1" t="s">
        <v>338</v>
      </c>
      <c r="F611" s="1" t="s">
        <v>5</v>
      </c>
      <c r="G611" s="18">
        <f>G600</f>
        <v>1000000000</v>
      </c>
      <c r="L611" s="18">
        <f>L607</f>
        <v>1000000</v>
      </c>
      <c r="M611" s="3">
        <v>2.92E-2</v>
      </c>
      <c r="N611" s="17" t="s">
        <v>335</v>
      </c>
      <c r="O611" s="2">
        <v>1.2500000000000001E-2</v>
      </c>
      <c r="Q611" s="5">
        <v>42692</v>
      </c>
      <c r="S611" s="4">
        <f>(Q611-B611)/365.24</f>
        <v>3.000766619209287</v>
      </c>
    </row>
    <row r="612" spans="1:22">
      <c r="A612" s="1" t="s">
        <v>437</v>
      </c>
      <c r="B612" s="5">
        <v>41584</v>
      </c>
      <c r="C612" s="1" t="s">
        <v>427</v>
      </c>
      <c r="D612" s="19">
        <v>992837000</v>
      </c>
      <c r="E612" s="1" t="s">
        <v>338</v>
      </c>
      <c r="F612" s="1" t="s">
        <v>5</v>
      </c>
      <c r="G612" s="18">
        <f>G611</f>
        <v>1000000000</v>
      </c>
      <c r="L612" s="18">
        <f>L611</f>
        <v>1000000</v>
      </c>
      <c r="M612" s="3">
        <v>2.5700000000000001E-2</v>
      </c>
      <c r="N612" s="17" t="s">
        <v>335</v>
      </c>
      <c r="O612" s="2">
        <v>8.9999999999999993E-3</v>
      </c>
      <c r="Q612" s="5">
        <v>43410</v>
      </c>
      <c r="S612" s="4">
        <f>(Q612-B612)/365.24</f>
        <v>4.9994524148505093</v>
      </c>
    </row>
    <row r="613" spans="1:22">
      <c r="A613" s="1" t="s">
        <v>436</v>
      </c>
      <c r="B613" s="5">
        <v>41449</v>
      </c>
      <c r="C613" s="1" t="s">
        <v>427</v>
      </c>
      <c r="D613" s="19">
        <v>992837000</v>
      </c>
      <c r="E613" s="1" t="s">
        <v>338</v>
      </c>
      <c r="F613" s="29" t="s">
        <v>5</v>
      </c>
      <c r="G613" s="18">
        <v>350000000</v>
      </c>
      <c r="L613" s="18">
        <f>L608</f>
        <v>100000</v>
      </c>
      <c r="M613" s="3">
        <v>3.6400000000000002E-2</v>
      </c>
      <c r="N613" s="17" t="s">
        <v>335</v>
      </c>
      <c r="O613" s="2">
        <v>1.95E-2</v>
      </c>
      <c r="Q613" s="5">
        <v>45103</v>
      </c>
      <c r="S613" s="4">
        <f>(Q613-B613)/365.24</f>
        <v>10.004380681195926</v>
      </c>
      <c r="V613" s="1" t="s">
        <v>56</v>
      </c>
    </row>
    <row r="614" spans="1:22">
      <c r="A614" s="1" t="s">
        <v>435</v>
      </c>
      <c r="B614" s="5">
        <v>41262</v>
      </c>
      <c r="C614" s="1" t="s">
        <v>427</v>
      </c>
      <c r="D614" s="19">
        <v>1085783000</v>
      </c>
      <c r="E614" s="1" t="s">
        <v>338</v>
      </c>
      <c r="F614" s="1" t="s">
        <v>5</v>
      </c>
      <c r="G614" s="18">
        <f>G612</f>
        <v>1000000000</v>
      </c>
      <c r="L614" s="18">
        <f>L610</f>
        <v>500000</v>
      </c>
      <c r="M614" s="3">
        <v>2.93E-2</v>
      </c>
      <c r="N614" s="17" t="s">
        <v>335</v>
      </c>
      <c r="O614" s="2">
        <v>1.12E-2</v>
      </c>
      <c r="Q614" s="5">
        <v>42662</v>
      </c>
      <c r="S614" s="4">
        <f>(Q614-B614)/365.24</f>
        <v>3.8330960464352204</v>
      </c>
    </row>
    <row r="615" spans="1:22">
      <c r="A615" s="1" t="s">
        <v>434</v>
      </c>
      <c r="B615" s="5">
        <v>41171</v>
      </c>
      <c r="C615" s="1" t="s">
        <v>427</v>
      </c>
      <c r="D615" s="19">
        <v>1085783000</v>
      </c>
      <c r="E615" s="1" t="s">
        <v>338</v>
      </c>
      <c r="F615" s="1" t="s">
        <v>5</v>
      </c>
      <c r="G615" s="18">
        <f>G614</f>
        <v>1000000000</v>
      </c>
      <c r="L615" s="18">
        <f>L612</f>
        <v>1000000</v>
      </c>
      <c r="M615" s="3">
        <v>3.5799999999999998E-2</v>
      </c>
      <c r="N615" s="17" t="s">
        <v>335</v>
      </c>
      <c r="O615" s="2">
        <v>1.6199999999999999E-2</v>
      </c>
      <c r="Q615" s="5">
        <v>43178</v>
      </c>
      <c r="S615" s="4">
        <f>(Q615-B615)/365.24</f>
        <v>5.4950169751396345</v>
      </c>
    </row>
    <row r="616" spans="1:22">
      <c r="A616" s="1" t="s">
        <v>433</v>
      </c>
      <c r="B616" s="5">
        <v>41159</v>
      </c>
      <c r="C616" s="1" t="s">
        <v>427</v>
      </c>
      <c r="D616" s="19">
        <v>1085783000</v>
      </c>
      <c r="E616" s="1" t="s">
        <v>338</v>
      </c>
      <c r="F616" s="1" t="s">
        <v>5</v>
      </c>
      <c r="G616" s="18">
        <f>G615</f>
        <v>1000000000</v>
      </c>
      <c r="L616" s="18">
        <f>L614</f>
        <v>500000</v>
      </c>
      <c r="M616" s="3">
        <v>3.2500000000000001E-2</v>
      </c>
      <c r="N616" s="17" t="s">
        <v>335</v>
      </c>
      <c r="O616" s="2">
        <v>1.24E-2</v>
      </c>
      <c r="Q616" s="5">
        <v>42254</v>
      </c>
      <c r="S616" s="4">
        <f>(Q616-B616)/365.24</f>
        <v>2.9980286934618334</v>
      </c>
    </row>
    <row r="617" spans="1:22">
      <c r="A617" s="1" t="s">
        <v>432</v>
      </c>
      <c r="B617" s="5">
        <v>41122</v>
      </c>
      <c r="C617" s="1" t="s">
        <v>427</v>
      </c>
      <c r="D617" s="19">
        <v>1085783000</v>
      </c>
      <c r="E617" s="1" t="s">
        <v>338</v>
      </c>
      <c r="F617" s="1" t="s">
        <v>17</v>
      </c>
      <c r="G617" s="18">
        <f>G616</f>
        <v>1000000000</v>
      </c>
      <c r="L617" s="18">
        <f>L616</f>
        <v>500000</v>
      </c>
      <c r="M617" s="3">
        <v>4.4499999999999998E-2</v>
      </c>
      <c r="O617" s="2"/>
      <c r="Q617" s="5">
        <v>42948</v>
      </c>
      <c r="S617" s="4">
        <f>(Q617-B617)/365.24</f>
        <v>4.9994524148505093</v>
      </c>
    </row>
    <row r="618" spans="1:22">
      <c r="A618" s="1" t="s">
        <v>431</v>
      </c>
      <c r="B618" s="5">
        <v>41080</v>
      </c>
      <c r="C618" s="1" t="s">
        <v>427</v>
      </c>
      <c r="D618" s="19">
        <v>1085783000</v>
      </c>
      <c r="E618" s="1" t="s">
        <v>338</v>
      </c>
      <c r="F618" s="1" t="s">
        <v>17</v>
      </c>
      <c r="G618" s="18">
        <f>G617</f>
        <v>1000000000</v>
      </c>
      <c r="L618" s="18">
        <f>L617</f>
        <v>500000</v>
      </c>
      <c r="M618" s="3">
        <v>5.2999999999999999E-2</v>
      </c>
      <c r="O618" s="2"/>
      <c r="Q618" s="5">
        <v>44732</v>
      </c>
      <c r="S618" s="4">
        <f>(Q618-B618)/365.24</f>
        <v>9.9989048297010186</v>
      </c>
    </row>
    <row r="619" spans="1:22">
      <c r="A619" s="1" t="s">
        <v>430</v>
      </c>
      <c r="B619" s="5">
        <v>41009</v>
      </c>
      <c r="C619" s="1" t="s">
        <v>427</v>
      </c>
      <c r="D619" s="19">
        <v>1085783000</v>
      </c>
      <c r="E619" s="1" t="s">
        <v>338</v>
      </c>
      <c r="F619" s="1" t="s">
        <v>17</v>
      </c>
      <c r="G619" s="18">
        <f>G618</f>
        <v>1000000000</v>
      </c>
      <c r="L619" s="18">
        <f>L618</f>
        <v>500000</v>
      </c>
      <c r="M619" s="3">
        <v>4.8300000000000003E-2</v>
      </c>
      <c r="O619" s="2"/>
      <c r="Q619" s="5">
        <v>42835</v>
      </c>
      <c r="S619" s="4">
        <f>(Q619-B619)/365.24</f>
        <v>4.9994524148505093</v>
      </c>
    </row>
    <row r="620" spans="1:22">
      <c r="A620" s="1" t="s">
        <v>429</v>
      </c>
      <c r="B620" s="5">
        <v>40935</v>
      </c>
      <c r="C620" s="1" t="s">
        <v>427</v>
      </c>
      <c r="D620" s="19">
        <v>1085783000</v>
      </c>
      <c r="E620" s="1" t="s">
        <v>338</v>
      </c>
      <c r="F620" s="1" t="s">
        <v>5</v>
      </c>
      <c r="G620" s="18">
        <f>G619</f>
        <v>1000000000</v>
      </c>
      <c r="L620" s="18">
        <f>L619</f>
        <v>500000</v>
      </c>
      <c r="M620" s="3">
        <v>4.7500000000000001E-2</v>
      </c>
      <c r="N620" s="17" t="s">
        <v>335</v>
      </c>
      <c r="O620" s="2">
        <v>2.0500000000000001E-2</v>
      </c>
      <c r="Q620" s="5">
        <v>42762</v>
      </c>
      <c r="S620" s="4">
        <f>(Q620-B620)/365.24</f>
        <v>5.0021903405979629</v>
      </c>
    </row>
    <row r="621" spans="1:22">
      <c r="A621" s="1" t="s">
        <v>428</v>
      </c>
      <c r="B621" s="5">
        <v>40771</v>
      </c>
      <c r="C621" s="1" t="s">
        <v>427</v>
      </c>
      <c r="D621" s="19">
        <v>1317428000</v>
      </c>
      <c r="E621" s="1" t="s">
        <v>338</v>
      </c>
      <c r="F621" s="1" t="s">
        <v>5</v>
      </c>
      <c r="G621" s="18">
        <f>G620</f>
        <v>1000000000</v>
      </c>
      <c r="L621" s="18">
        <f>L620</f>
        <v>500000</v>
      </c>
      <c r="M621" s="3">
        <v>4.1300000000000003E-2</v>
      </c>
      <c r="N621" s="17" t="s">
        <v>335</v>
      </c>
      <c r="O621" s="2">
        <v>0.01</v>
      </c>
      <c r="Q621" s="5">
        <v>41897</v>
      </c>
      <c r="S621" s="4">
        <f>(Q621-B621)/365.24</f>
        <v>3.0829043916328986</v>
      </c>
    </row>
    <row r="622" spans="1:22">
      <c r="A622" s="1" t="s">
        <v>426</v>
      </c>
      <c r="B622" s="5">
        <v>41439</v>
      </c>
      <c r="C622" s="1" t="s">
        <v>425</v>
      </c>
      <c r="D622" s="19"/>
      <c r="E622" s="1" t="s">
        <v>25</v>
      </c>
      <c r="F622" s="1" t="s">
        <v>5</v>
      </c>
      <c r="G622" s="18">
        <v>600000000</v>
      </c>
      <c r="L622" s="18">
        <v>1000000</v>
      </c>
      <c r="M622" s="3">
        <v>3.2500000000000001E-2</v>
      </c>
      <c r="N622" s="17" t="s">
        <v>335</v>
      </c>
      <c r="O622" s="3">
        <v>1.4999999999999999E-2</v>
      </c>
      <c r="Q622" s="5">
        <v>43265</v>
      </c>
      <c r="S622" s="4">
        <f>(Q622-B622)/365.24</f>
        <v>4.9994524148505093</v>
      </c>
    </row>
    <row r="623" spans="1:22">
      <c r="A623" s="1" t="s">
        <v>424</v>
      </c>
      <c r="B623" s="5">
        <v>41703</v>
      </c>
      <c r="C623" s="1" t="s">
        <v>418</v>
      </c>
      <c r="D623" s="19">
        <v>566602000</v>
      </c>
      <c r="E623" s="1" t="s">
        <v>338</v>
      </c>
      <c r="F623" s="1" t="s">
        <v>33</v>
      </c>
      <c r="G623" s="18">
        <v>400000000</v>
      </c>
      <c r="L623" s="18">
        <v>1000000</v>
      </c>
      <c r="M623" s="3">
        <v>2.1000000000000001E-2</v>
      </c>
      <c r="N623" s="17" t="s">
        <v>335</v>
      </c>
      <c r="O623" s="3">
        <v>3.8999999999999998E-3</v>
      </c>
      <c r="Q623" s="5">
        <v>42892</v>
      </c>
      <c r="R623" s="5">
        <v>43257</v>
      </c>
      <c r="S623" s="4">
        <f>(Q623-B623)/365.24</f>
        <v>3.255393713722484</v>
      </c>
    </row>
    <row r="624" spans="1:22">
      <c r="A624" s="1" t="s">
        <v>423</v>
      </c>
      <c r="B624" s="5">
        <v>41586</v>
      </c>
      <c r="C624" s="1" t="s">
        <v>418</v>
      </c>
      <c r="D624" s="19">
        <v>587798000</v>
      </c>
      <c r="E624" s="1" t="s">
        <v>338</v>
      </c>
      <c r="F624" s="1" t="s">
        <v>33</v>
      </c>
      <c r="G624" s="18">
        <v>300000000</v>
      </c>
      <c r="L624" s="18">
        <v>1000000</v>
      </c>
      <c r="M624" s="3">
        <v>1.9699999999999999E-2</v>
      </c>
      <c r="N624" s="17" t="s">
        <v>335</v>
      </c>
      <c r="O624" s="3">
        <v>5.3E-3</v>
      </c>
      <c r="Q624" s="5">
        <v>42754</v>
      </c>
      <c r="R624" s="5">
        <v>43119</v>
      </c>
      <c r="S624" s="4">
        <f>(Q624-B624)/365.24</f>
        <v>3.1978972730259554</v>
      </c>
    </row>
    <row r="625" spans="1:22">
      <c r="A625" s="1" t="s">
        <v>422</v>
      </c>
      <c r="B625" s="5">
        <v>41439</v>
      </c>
      <c r="C625" s="1" t="s">
        <v>418</v>
      </c>
      <c r="D625" s="19">
        <v>587798000</v>
      </c>
      <c r="E625" s="1" t="s">
        <v>338</v>
      </c>
      <c r="F625" s="1" t="s">
        <v>33</v>
      </c>
      <c r="G625" s="18">
        <v>400000000</v>
      </c>
      <c r="L625" s="18">
        <v>1000000</v>
      </c>
      <c r="M625" s="3">
        <v>2.4199999999999999E-2</v>
      </c>
      <c r="N625" s="17" t="s">
        <v>335</v>
      </c>
      <c r="O625" s="3">
        <v>6.7000000000000002E-3</v>
      </c>
      <c r="Q625" s="5">
        <v>43418</v>
      </c>
      <c r="R625" s="5">
        <v>43783</v>
      </c>
      <c r="S625" s="4">
        <f>(Q625-B625)/365.24</f>
        <v>5.41835505421093</v>
      </c>
    </row>
    <row r="626" spans="1:22">
      <c r="A626" s="1" t="s">
        <v>421</v>
      </c>
      <c r="B626" s="5">
        <v>41359</v>
      </c>
      <c r="C626" s="1" t="s">
        <v>418</v>
      </c>
      <c r="D626" s="19">
        <v>587798000</v>
      </c>
      <c r="E626" s="1" t="s">
        <v>338</v>
      </c>
      <c r="F626" s="1" t="s">
        <v>33</v>
      </c>
      <c r="G626" s="18">
        <v>400000000</v>
      </c>
      <c r="L626" s="18">
        <v>500000</v>
      </c>
      <c r="M626" s="3">
        <v>2.5600000000000001E-2</v>
      </c>
      <c r="N626" s="17" t="s">
        <v>335</v>
      </c>
      <c r="O626" s="3">
        <v>6.7999999999999996E-3</v>
      </c>
      <c r="Q626" s="5">
        <v>43185</v>
      </c>
      <c r="R626" s="5">
        <v>43550</v>
      </c>
      <c r="S626" s="4">
        <f>(Q626-B626)/365.24</f>
        <v>4.9994524148505093</v>
      </c>
    </row>
    <row r="627" spans="1:22">
      <c r="A627" s="1" t="s">
        <v>420</v>
      </c>
      <c r="B627" s="5">
        <v>40780</v>
      </c>
      <c r="C627" s="1" t="s">
        <v>418</v>
      </c>
      <c r="D627" s="19">
        <v>525729000</v>
      </c>
      <c r="E627" s="1" t="s">
        <v>338</v>
      </c>
      <c r="F627" s="1" t="s">
        <v>33</v>
      </c>
      <c r="G627" s="18">
        <v>700000000</v>
      </c>
      <c r="L627" s="18">
        <v>500000</v>
      </c>
      <c r="M627" s="3">
        <v>3.7199999999999997E-2</v>
      </c>
      <c r="N627" s="17" t="s">
        <v>335</v>
      </c>
      <c r="O627" s="3">
        <v>6.3E-3</v>
      </c>
      <c r="Q627" s="5">
        <v>42607</v>
      </c>
      <c r="R627" s="5">
        <v>42972</v>
      </c>
      <c r="S627" s="4">
        <f>(Q627-B627)/365.24</f>
        <v>5.0021903405979629</v>
      </c>
    </row>
    <row r="628" spans="1:22">
      <c r="A628" s="1" t="s">
        <v>419</v>
      </c>
      <c r="B628" s="5">
        <v>40646</v>
      </c>
      <c r="C628" s="1" t="s">
        <v>418</v>
      </c>
      <c r="D628" s="19">
        <v>525729000</v>
      </c>
      <c r="E628" s="1" t="s">
        <v>338</v>
      </c>
      <c r="F628" s="1" t="s">
        <v>33</v>
      </c>
      <c r="G628" s="18">
        <v>600000000</v>
      </c>
      <c r="L628" s="18">
        <v>500000</v>
      </c>
      <c r="M628" s="3">
        <v>3.2000000000000001E-2</v>
      </c>
      <c r="N628" s="17" t="s">
        <v>335</v>
      </c>
      <c r="O628" s="3">
        <v>5.4999999999999997E-3</v>
      </c>
      <c r="Q628" s="5">
        <v>42107</v>
      </c>
      <c r="R628" s="5">
        <v>42473</v>
      </c>
      <c r="S628" s="4">
        <f>(Q628-B628)/365.24</f>
        <v>4.0001095170298981</v>
      </c>
    </row>
    <row r="629" spans="1:22">
      <c r="A629" s="1" t="s">
        <v>417</v>
      </c>
      <c r="B629" s="5">
        <v>41353</v>
      </c>
      <c r="C629" s="1" t="s">
        <v>416</v>
      </c>
      <c r="D629" s="19">
        <v>20314000000</v>
      </c>
      <c r="E629" s="1" t="s">
        <v>341</v>
      </c>
      <c r="F629" s="1" t="s">
        <v>5</v>
      </c>
      <c r="G629" s="18">
        <v>800000000</v>
      </c>
      <c r="L629" s="18">
        <v>1000000</v>
      </c>
      <c r="M629" s="3">
        <v>5.62E-2</v>
      </c>
      <c r="N629" s="17" t="s">
        <v>335</v>
      </c>
      <c r="O629" s="3">
        <v>3.7499999999999999E-2</v>
      </c>
      <c r="Q629" s="1" t="s">
        <v>415</v>
      </c>
      <c r="S629" s="4" t="e">
        <f>(Q629-B629)/365.24</f>
        <v>#VALUE!</v>
      </c>
      <c r="V629" s="1" t="s">
        <v>56</v>
      </c>
    </row>
    <row r="630" spans="1:22">
      <c r="A630" s="1" t="s">
        <v>414</v>
      </c>
      <c r="B630" s="5">
        <v>41214</v>
      </c>
      <c r="C630" s="1" t="s">
        <v>413</v>
      </c>
      <c r="D630" s="19">
        <v>1744924000</v>
      </c>
      <c r="E630" s="1" t="s">
        <v>25</v>
      </c>
      <c r="F630" s="1" t="s">
        <v>17</v>
      </c>
      <c r="G630" s="18">
        <v>1000000000</v>
      </c>
      <c r="L630" s="18">
        <v>1000000</v>
      </c>
      <c r="M630" s="3">
        <v>4.9599999999999998E-2</v>
      </c>
      <c r="Q630" s="5">
        <v>44866</v>
      </c>
      <c r="S630" s="4">
        <f>(Q630-B630)/365.24</f>
        <v>9.9989048297010186</v>
      </c>
      <c r="V630" s="1" t="s">
        <v>28</v>
      </c>
    </row>
    <row r="631" spans="1:22">
      <c r="A631" s="1" t="s">
        <v>412</v>
      </c>
      <c r="B631" s="5">
        <v>41309</v>
      </c>
      <c r="C631" s="1" t="s">
        <v>408</v>
      </c>
      <c r="D631" s="19">
        <v>11354000000</v>
      </c>
      <c r="E631" s="1" t="s">
        <v>407</v>
      </c>
      <c r="F631" s="1" t="s">
        <v>5</v>
      </c>
      <c r="G631" s="18">
        <v>500000000</v>
      </c>
      <c r="L631" s="18">
        <v>1000000</v>
      </c>
      <c r="M631" s="3">
        <v>2.1100000000000001E-2</v>
      </c>
      <c r="N631" s="17" t="s">
        <v>335</v>
      </c>
      <c r="O631" s="3">
        <v>2.65E-3</v>
      </c>
      <c r="Q631" s="5">
        <v>42404</v>
      </c>
      <c r="S631" s="4">
        <f>(Q631-B631)/365.24</f>
        <v>2.9980286934618334</v>
      </c>
    </row>
    <row r="632" spans="1:22">
      <c r="A632" s="1" t="s">
        <v>411</v>
      </c>
      <c r="B632" s="5">
        <v>41187</v>
      </c>
      <c r="C632" s="1" t="s">
        <v>408</v>
      </c>
      <c r="D632" s="19">
        <v>10585000000</v>
      </c>
      <c r="E632" s="1" t="s">
        <v>407</v>
      </c>
      <c r="F632" s="1" t="s">
        <v>5</v>
      </c>
      <c r="G632" s="18">
        <v>500000000</v>
      </c>
      <c r="L632" s="18">
        <v>1000000</v>
      </c>
      <c r="M632" s="3">
        <v>2.4400000000000002E-2</v>
      </c>
      <c r="N632" s="17" t="s">
        <v>335</v>
      </c>
      <c r="O632" s="3">
        <v>4.8999999999999998E-3</v>
      </c>
      <c r="Q632" s="5">
        <v>43013</v>
      </c>
      <c r="S632" s="4">
        <f>(Q632-B632)/365.24</f>
        <v>4.9994524148505093</v>
      </c>
    </row>
    <row r="633" spans="1:22">
      <c r="A633" s="1" t="s">
        <v>410</v>
      </c>
      <c r="B633" s="5">
        <v>41001</v>
      </c>
      <c r="C633" s="1" t="s">
        <v>408</v>
      </c>
      <c r="D633" s="19">
        <v>10585000000</v>
      </c>
      <c r="E633" s="1" t="s">
        <v>407</v>
      </c>
      <c r="F633" s="1" t="s">
        <v>5</v>
      </c>
      <c r="G633" s="18">
        <v>400000000</v>
      </c>
      <c r="L633" s="18">
        <v>1000000</v>
      </c>
      <c r="M633" s="3">
        <v>2.7E-2</v>
      </c>
      <c r="N633" s="17" t="s">
        <v>335</v>
      </c>
      <c r="O633" s="3">
        <v>3.8999999999999998E-3</v>
      </c>
      <c r="Q633" s="5">
        <v>42095</v>
      </c>
      <c r="S633" s="4">
        <f>(Q633-B633)/365.24</f>
        <v>2.9952907677143794</v>
      </c>
    </row>
    <row r="634" spans="1:22">
      <c r="A634" s="1" t="s">
        <v>409</v>
      </c>
      <c r="B634" s="5">
        <v>40952</v>
      </c>
      <c r="C634" s="1" t="s">
        <v>408</v>
      </c>
      <c r="D634" s="19">
        <v>10585000000</v>
      </c>
      <c r="E634" s="1" t="s">
        <v>407</v>
      </c>
      <c r="F634" s="1" t="s">
        <v>17</v>
      </c>
      <c r="G634" s="18">
        <v>350000000</v>
      </c>
      <c r="L634" s="18">
        <v>1000000</v>
      </c>
      <c r="M634" s="3">
        <v>3.6799999999999999E-2</v>
      </c>
      <c r="Q634" s="5">
        <v>43144</v>
      </c>
      <c r="S634" s="4">
        <f>(Q634-B634)/365.24</f>
        <v>6.001533238418574</v>
      </c>
    </row>
    <row r="635" spans="1:22">
      <c r="A635" s="1" t="s">
        <v>406</v>
      </c>
      <c r="B635" s="5">
        <v>41668</v>
      </c>
      <c r="C635" s="1" t="s">
        <v>402</v>
      </c>
      <c r="D635" s="19">
        <v>96213000</v>
      </c>
      <c r="E635" s="1" t="s">
        <v>338</v>
      </c>
      <c r="F635" s="1" t="s">
        <v>5</v>
      </c>
      <c r="G635" s="18">
        <v>100000000</v>
      </c>
      <c r="L635" s="18">
        <v>1000000</v>
      </c>
      <c r="M635" s="3">
        <v>2.5899999999999999E-2</v>
      </c>
      <c r="N635" s="17" t="s">
        <v>335</v>
      </c>
      <c r="O635" s="3">
        <v>9.4000000000000004E-3</v>
      </c>
      <c r="Q635" s="5">
        <v>43129</v>
      </c>
      <c r="S635" s="4">
        <f>(Q635-B635)/365.24</f>
        <v>4.0001095170298981</v>
      </c>
    </row>
    <row r="636" spans="1:22">
      <c r="A636" s="1" t="s">
        <v>405</v>
      </c>
      <c r="B636" s="5">
        <v>41598</v>
      </c>
      <c r="C636" s="1" t="s">
        <v>402</v>
      </c>
      <c r="D636" s="19">
        <v>94271000</v>
      </c>
      <c r="E636" s="1" t="s">
        <v>338</v>
      </c>
      <c r="F636" s="1" t="s">
        <v>5</v>
      </c>
      <c r="G636" s="18">
        <v>100000000</v>
      </c>
      <c r="L636" s="18">
        <v>1000000</v>
      </c>
      <c r="M636" s="3">
        <v>2.7E-2</v>
      </c>
      <c r="N636" s="17" t="s">
        <v>335</v>
      </c>
      <c r="O636" s="3">
        <v>1.0500000000000001E-2</v>
      </c>
      <c r="Q636" s="5">
        <v>43424</v>
      </c>
      <c r="S636" s="4">
        <f>(Q636-B636)/365.24</f>
        <v>4.9994524148505093</v>
      </c>
    </row>
    <row r="637" spans="1:22">
      <c r="A637" s="1" t="s">
        <v>404</v>
      </c>
      <c r="B637" s="5">
        <v>41499</v>
      </c>
      <c r="C637" s="1" t="s">
        <v>402</v>
      </c>
      <c r="D637" s="19">
        <v>94271000</v>
      </c>
      <c r="E637" s="1" t="s">
        <v>338</v>
      </c>
      <c r="F637" s="1" t="s">
        <v>5</v>
      </c>
      <c r="G637" s="18">
        <v>50000000</v>
      </c>
      <c r="L637" s="18">
        <v>1000000</v>
      </c>
      <c r="M637" s="3">
        <v>2.7400000000000001E-2</v>
      </c>
      <c r="N637" s="17" t="s">
        <v>335</v>
      </c>
      <c r="O637" s="3">
        <v>0.01</v>
      </c>
      <c r="Q637" s="5">
        <v>42948</v>
      </c>
      <c r="S637" s="4">
        <f>(Q637-B637)/365.24</f>
        <v>3.9672544080604535</v>
      </c>
    </row>
    <row r="638" spans="1:22">
      <c r="A638" s="1" t="s">
        <v>403</v>
      </c>
      <c r="B638" s="5">
        <v>41373</v>
      </c>
      <c r="C638" s="1" t="s">
        <v>402</v>
      </c>
      <c r="D638" s="19">
        <v>94271000</v>
      </c>
      <c r="E638" s="1" t="s">
        <v>338</v>
      </c>
      <c r="F638" s="1" t="s">
        <v>5</v>
      </c>
      <c r="G638" s="18">
        <v>100000000</v>
      </c>
      <c r="L638" s="18">
        <v>1000000</v>
      </c>
      <c r="M638" s="3">
        <v>2.75E-2</v>
      </c>
      <c r="N638" s="17" t="s">
        <v>335</v>
      </c>
      <c r="O638" s="3">
        <v>8.9999999999999993E-3</v>
      </c>
      <c r="Q638" s="5">
        <v>42471</v>
      </c>
      <c r="S638" s="4">
        <f>(Q638-B638)/365.24</f>
        <v>3.0062424707041946</v>
      </c>
    </row>
    <row r="639" spans="1:22">
      <c r="A639" s="1" t="s">
        <v>401</v>
      </c>
      <c r="B639" s="5">
        <v>41603</v>
      </c>
      <c r="C639" s="1" t="s">
        <v>184</v>
      </c>
      <c r="D639" s="19">
        <v>587798000</v>
      </c>
      <c r="E639" s="1" t="s">
        <v>338</v>
      </c>
      <c r="F639" s="1" t="s">
        <v>17</v>
      </c>
      <c r="G639" s="18">
        <v>400000000</v>
      </c>
      <c r="L639" s="18">
        <v>1000000</v>
      </c>
      <c r="M639" s="3">
        <v>3.32E-2</v>
      </c>
      <c r="Q639" s="5">
        <v>43511</v>
      </c>
      <c r="S639" s="4">
        <f>(Q639-B639)/365.24</f>
        <v>5.2239623261417147</v>
      </c>
    </row>
    <row r="640" spans="1:22">
      <c r="A640" s="1" t="s">
        <v>400</v>
      </c>
      <c r="B640" s="5">
        <v>41544</v>
      </c>
      <c r="C640" s="1" t="s">
        <v>184</v>
      </c>
      <c r="D640" s="19">
        <v>587798000</v>
      </c>
      <c r="E640" s="1" t="s">
        <v>338</v>
      </c>
      <c r="F640" s="1" t="s">
        <v>5</v>
      </c>
      <c r="G640" s="18">
        <v>300000000</v>
      </c>
      <c r="L640" s="18">
        <v>500000</v>
      </c>
      <c r="M640" s="3">
        <v>2.6200000000000001E-2</v>
      </c>
      <c r="N640" s="17" t="s">
        <v>335</v>
      </c>
      <c r="O640" s="3">
        <v>9.2999999999999992E-3</v>
      </c>
      <c r="Q640" s="5">
        <v>43370</v>
      </c>
      <c r="S640" s="4">
        <f>(Q640-B640)/365.24</f>
        <v>4.9994524148505093</v>
      </c>
    </row>
    <row r="641" spans="1:22">
      <c r="A641" s="1" t="s">
        <v>399</v>
      </c>
      <c r="B641" s="5">
        <v>41453</v>
      </c>
      <c r="C641" s="1" t="s">
        <v>184</v>
      </c>
      <c r="D641" s="19">
        <v>587798000</v>
      </c>
      <c r="E641" s="1" t="s">
        <v>338</v>
      </c>
      <c r="F641" s="1" t="s">
        <v>17</v>
      </c>
      <c r="G641" s="18">
        <v>500000000</v>
      </c>
      <c r="L641" s="18">
        <v>500000</v>
      </c>
      <c r="M641" s="3">
        <v>4.0300000000000002E-2</v>
      </c>
      <c r="Q641" s="5">
        <v>44375</v>
      </c>
      <c r="S641" s="4">
        <f>(Q641-B641)/365.24</f>
        <v>8.0002190340597963</v>
      </c>
    </row>
    <row r="642" spans="1:22">
      <c r="A642" s="1" t="s">
        <v>398</v>
      </c>
      <c r="B642" s="5">
        <v>41325</v>
      </c>
      <c r="C642" s="1" t="s">
        <v>184</v>
      </c>
      <c r="D642" s="19">
        <v>587798000</v>
      </c>
      <c r="E642" s="1" t="s">
        <v>338</v>
      </c>
      <c r="F642" s="1" t="s">
        <v>5</v>
      </c>
      <c r="G642" s="18">
        <v>400000000</v>
      </c>
      <c r="L642" s="18">
        <v>1000000</v>
      </c>
      <c r="M642" s="3">
        <v>2.81E-2</v>
      </c>
      <c r="N642" s="17" t="s">
        <v>335</v>
      </c>
      <c r="O642" s="3">
        <v>8.9999999999999993E-3</v>
      </c>
      <c r="Q642" s="5">
        <v>42786</v>
      </c>
      <c r="S642" s="4">
        <f>(Q642-B642)/365.24</f>
        <v>4.0001095170298981</v>
      </c>
    </row>
    <row r="643" spans="1:22">
      <c r="A643" s="1" t="s">
        <v>397</v>
      </c>
      <c r="B643" s="5">
        <v>41208</v>
      </c>
      <c r="C643" s="1" t="s">
        <v>184</v>
      </c>
      <c r="D643" s="19">
        <v>577783000</v>
      </c>
      <c r="E643" s="1" t="s">
        <v>338</v>
      </c>
      <c r="F643" s="1" t="s">
        <v>17</v>
      </c>
      <c r="G643" s="18">
        <v>500000000</v>
      </c>
      <c r="L643" s="18">
        <v>100000</v>
      </c>
      <c r="M643" s="3">
        <v>3.7999999999999999E-2</v>
      </c>
      <c r="Q643" s="5">
        <v>43034</v>
      </c>
      <c r="S643" s="4">
        <f>(Q643-B643)/365.24</f>
        <v>4.9994524148505093</v>
      </c>
    </row>
    <row r="644" spans="1:22">
      <c r="A644" s="1" t="s">
        <v>396</v>
      </c>
      <c r="B644" s="5">
        <v>40830</v>
      </c>
      <c r="C644" s="1" t="s">
        <v>184</v>
      </c>
      <c r="D644" s="19">
        <v>525729000</v>
      </c>
      <c r="E644" s="1" t="s">
        <v>338</v>
      </c>
      <c r="F644" s="1" t="s">
        <v>5</v>
      </c>
      <c r="G644" s="18">
        <v>500000000</v>
      </c>
      <c r="L644" s="18">
        <v>500000</v>
      </c>
      <c r="M644" s="3">
        <v>4.9200000000000001E-2</v>
      </c>
      <c r="N644" s="17" t="s">
        <v>335</v>
      </c>
      <c r="O644" s="3">
        <v>1.83E-2</v>
      </c>
      <c r="Q644" s="5">
        <v>42657</v>
      </c>
      <c r="S644" s="4">
        <f>(Q644-B644)/365.24</f>
        <v>5.0021903405979629</v>
      </c>
    </row>
    <row r="645" spans="1:22">
      <c r="A645" s="1" t="s">
        <v>395</v>
      </c>
      <c r="B645" s="5">
        <v>40770</v>
      </c>
      <c r="C645" s="1" t="s">
        <v>184</v>
      </c>
      <c r="D645" s="19">
        <v>525729000</v>
      </c>
      <c r="E645" s="1" t="s">
        <v>338</v>
      </c>
      <c r="F645" s="1" t="s">
        <v>5</v>
      </c>
      <c r="G645" s="18">
        <v>500000000</v>
      </c>
      <c r="L645" s="18">
        <v>500000</v>
      </c>
      <c r="M645" s="3">
        <v>3.9800000000000002E-2</v>
      </c>
      <c r="N645" s="17" t="s">
        <v>335</v>
      </c>
      <c r="O645" s="3">
        <v>8.3000000000000001E-3</v>
      </c>
      <c r="Q645" s="5">
        <v>41866</v>
      </c>
      <c r="S645" s="4">
        <f>(Q645-B645)/365.24</f>
        <v>3.000766619209287</v>
      </c>
    </row>
    <row r="646" spans="1:22">
      <c r="A646" s="1" t="s">
        <v>394</v>
      </c>
      <c r="B646" s="5">
        <v>41450</v>
      </c>
      <c r="C646" s="1" t="s">
        <v>392</v>
      </c>
      <c r="D646" s="19">
        <v>51900000</v>
      </c>
      <c r="E646" s="1" t="s">
        <v>338</v>
      </c>
      <c r="F646" s="1" t="s">
        <v>5</v>
      </c>
      <c r="G646" s="18">
        <v>100000000</v>
      </c>
      <c r="L646" s="18">
        <v>1000000</v>
      </c>
      <c r="M646" s="3">
        <v>2.81E-2</v>
      </c>
      <c r="N646" s="17" t="s">
        <v>335</v>
      </c>
      <c r="O646" s="3">
        <v>1.12E-2</v>
      </c>
      <c r="Q646" s="5">
        <v>43276</v>
      </c>
      <c r="S646" s="4">
        <f>(Q646-B646)/365.24</f>
        <v>4.9994524148505093</v>
      </c>
    </row>
    <row r="647" spans="1:22">
      <c r="A647" s="1" t="s">
        <v>393</v>
      </c>
      <c r="B647" s="5">
        <v>41186</v>
      </c>
      <c r="C647" s="1" t="s">
        <v>392</v>
      </c>
      <c r="D647" s="19">
        <v>50800000</v>
      </c>
      <c r="E647" s="1" t="s">
        <v>338</v>
      </c>
      <c r="F647" s="1" t="s">
        <v>5</v>
      </c>
      <c r="G647" s="18">
        <v>100000000</v>
      </c>
      <c r="L647" s="18">
        <v>500000</v>
      </c>
      <c r="M647" s="3">
        <v>3.3500000000000002E-2</v>
      </c>
      <c r="N647" s="17" t="s">
        <v>335</v>
      </c>
      <c r="O647" s="3">
        <v>1.4E-2</v>
      </c>
      <c r="Q647" s="5">
        <v>42647</v>
      </c>
      <c r="S647" s="4">
        <f>(Q647-B647)/365.24</f>
        <v>4.0001095170298981</v>
      </c>
    </row>
    <row r="648" spans="1:22">
      <c r="A648" s="1" t="s">
        <v>391</v>
      </c>
      <c r="B648" s="5">
        <v>41558</v>
      </c>
      <c r="C648" s="1" t="s">
        <v>385</v>
      </c>
      <c r="D648" s="19">
        <v>229443000</v>
      </c>
      <c r="E648" s="1" t="s">
        <v>338</v>
      </c>
      <c r="F648" s="1" t="s">
        <v>5</v>
      </c>
      <c r="G648" s="18">
        <v>300000000</v>
      </c>
      <c r="L648" s="18">
        <v>1000000</v>
      </c>
      <c r="M648" s="3">
        <v>2.4E-2</v>
      </c>
      <c r="N648" s="17" t="s">
        <v>335</v>
      </c>
      <c r="O648" s="3">
        <v>7.1999999999999998E-3</v>
      </c>
      <c r="Q648" s="5">
        <v>42654</v>
      </c>
      <c r="S648" s="4">
        <f>(Q648-B648)/365.24</f>
        <v>3.000766619209287</v>
      </c>
    </row>
    <row r="649" spans="1:22">
      <c r="A649" s="1" t="s">
        <v>390</v>
      </c>
      <c r="B649" s="5">
        <v>41402</v>
      </c>
      <c r="C649" s="1" t="s">
        <v>385</v>
      </c>
      <c r="D649" s="19">
        <v>229443000</v>
      </c>
      <c r="E649" s="1" t="s">
        <v>338</v>
      </c>
      <c r="F649" s="1" t="s">
        <v>5</v>
      </c>
      <c r="G649" s="18">
        <v>300000000</v>
      </c>
      <c r="L649" s="18">
        <v>500000</v>
      </c>
      <c r="M649" s="3">
        <v>2.7199999999999998E-2</v>
      </c>
      <c r="N649" s="17" t="s">
        <v>335</v>
      </c>
      <c r="O649" s="3">
        <v>9.9000000000000008E-3</v>
      </c>
      <c r="Q649" s="5">
        <v>43228</v>
      </c>
      <c r="S649" s="4">
        <f>(Q649-B649)/365.24</f>
        <v>4.9994524148505093</v>
      </c>
    </row>
    <row r="650" spans="1:22">
      <c r="A650" s="1" t="s">
        <v>389</v>
      </c>
      <c r="B650" s="5">
        <v>41285</v>
      </c>
      <c r="C650" s="1" t="s">
        <v>385</v>
      </c>
      <c r="D650" s="19">
        <v>229443000</v>
      </c>
      <c r="E650" s="1" t="s">
        <v>338</v>
      </c>
      <c r="F650" s="1" t="s">
        <v>5</v>
      </c>
      <c r="G650" s="18">
        <v>300000000</v>
      </c>
      <c r="L650" s="18">
        <v>1000000</v>
      </c>
      <c r="M650" s="3">
        <v>2.8500000000000001E-2</v>
      </c>
      <c r="N650" s="17" t="s">
        <v>335</v>
      </c>
      <c r="O650" s="3">
        <v>9.7999999999999997E-3</v>
      </c>
      <c r="Q650" s="5">
        <v>42380</v>
      </c>
      <c r="S650" s="4">
        <f>(Q650-B650)/365.24</f>
        <v>2.9980286934618334</v>
      </c>
    </row>
    <row r="651" spans="1:22">
      <c r="A651" s="1" t="s">
        <v>388</v>
      </c>
      <c r="B651" s="5">
        <v>41233</v>
      </c>
      <c r="C651" s="1" t="s">
        <v>385</v>
      </c>
      <c r="D651" s="19">
        <v>208368000</v>
      </c>
      <c r="E651" s="1" t="s">
        <v>338</v>
      </c>
      <c r="F651" s="1" t="s">
        <v>5</v>
      </c>
      <c r="G651" s="18">
        <v>400000000</v>
      </c>
      <c r="L651" s="18">
        <v>100000</v>
      </c>
      <c r="M651" s="3">
        <v>2.3400000000000001E-2</v>
      </c>
      <c r="N651" s="17" t="s">
        <v>335</v>
      </c>
      <c r="O651" s="3">
        <v>1.37E-2</v>
      </c>
      <c r="Q651" s="5">
        <v>43059</v>
      </c>
      <c r="S651" s="4">
        <f>(Q651-B651)/365.24</f>
        <v>4.9994524148505093</v>
      </c>
    </row>
    <row r="652" spans="1:22">
      <c r="A652" s="1" t="s">
        <v>387</v>
      </c>
      <c r="B652" s="5">
        <v>41089</v>
      </c>
      <c r="C652" s="1" t="s">
        <v>385</v>
      </c>
      <c r="D652" s="19">
        <v>208368000</v>
      </c>
      <c r="E652" s="1" t="s">
        <v>338</v>
      </c>
      <c r="F652" s="1" t="s">
        <v>5</v>
      </c>
      <c r="G652" s="18">
        <v>300000000</v>
      </c>
      <c r="L652" s="18">
        <v>1000000</v>
      </c>
      <c r="M652" s="3">
        <v>4.2999999999999997E-2</v>
      </c>
      <c r="N652" s="17" t="s">
        <v>335</v>
      </c>
      <c r="O652" s="3">
        <v>0.02</v>
      </c>
      <c r="Q652" s="5">
        <v>42915</v>
      </c>
      <c r="S652" s="4">
        <f>(Q652-B652)/365.24</f>
        <v>4.9994524148505093</v>
      </c>
    </row>
    <row r="653" spans="1:22">
      <c r="A653" s="1" t="s">
        <v>386</v>
      </c>
      <c r="B653" s="5">
        <v>40771</v>
      </c>
      <c r="C653" s="1" t="s">
        <v>385</v>
      </c>
      <c r="D653" s="19">
        <v>184685000</v>
      </c>
      <c r="E653" s="1" t="s">
        <v>338</v>
      </c>
      <c r="F653" s="1" t="s">
        <v>5</v>
      </c>
      <c r="G653" s="18">
        <v>300000000</v>
      </c>
      <c r="L653" s="18">
        <v>500000</v>
      </c>
      <c r="M653" s="3">
        <v>4.53E-2</v>
      </c>
      <c r="N653" s="17" t="s">
        <v>335</v>
      </c>
      <c r="O653" s="3">
        <v>1.4E-2</v>
      </c>
      <c r="Q653" s="5">
        <v>42598</v>
      </c>
      <c r="S653" s="4">
        <f>(Q653-B653)/365.24</f>
        <v>5.0021903405979629</v>
      </c>
    </row>
    <row r="654" spans="1:22">
      <c r="A654" s="1" t="s">
        <v>384</v>
      </c>
      <c r="B654" s="5">
        <v>41180</v>
      </c>
      <c r="C654" s="1" t="s">
        <v>383</v>
      </c>
      <c r="D654" s="19"/>
      <c r="E654" s="1" t="s">
        <v>53</v>
      </c>
      <c r="F654" s="1" t="s">
        <v>17</v>
      </c>
      <c r="G654" s="18">
        <v>150000000</v>
      </c>
      <c r="L654" s="18">
        <v>100000</v>
      </c>
      <c r="M654" s="3">
        <v>0.09</v>
      </c>
      <c r="Q654" s="5">
        <v>43006</v>
      </c>
      <c r="S654" s="4">
        <f>(Q654-B654)/365.24</f>
        <v>4.9994524148505093</v>
      </c>
      <c r="V654" s="1" t="s">
        <v>56</v>
      </c>
    </row>
    <row r="655" spans="1:22">
      <c r="A655" s="1" t="s">
        <v>382</v>
      </c>
      <c r="B655" s="5">
        <v>41368</v>
      </c>
      <c r="C655" s="1" t="s">
        <v>380</v>
      </c>
      <c r="D655" s="19">
        <v>19769000000</v>
      </c>
      <c r="E655" s="1" t="s">
        <v>341</v>
      </c>
      <c r="F655" s="1" t="s">
        <v>5</v>
      </c>
      <c r="G655" s="18">
        <v>750000000</v>
      </c>
      <c r="L655" s="18">
        <v>1000000</v>
      </c>
      <c r="M655" s="3">
        <v>3.1E-2</v>
      </c>
      <c r="N655" s="17" t="s">
        <v>335</v>
      </c>
      <c r="O655" s="3">
        <v>1.2500000000000001E-2</v>
      </c>
      <c r="Q655" s="5">
        <v>43194</v>
      </c>
      <c r="S655" s="4">
        <f>(Q655-B655)/365.24</f>
        <v>4.9994524148505093</v>
      </c>
    </row>
    <row r="656" spans="1:22">
      <c r="A656" s="1" t="s">
        <v>381</v>
      </c>
      <c r="B656" s="5">
        <v>41185</v>
      </c>
      <c r="C656" s="1" t="s">
        <v>380</v>
      </c>
      <c r="D656" s="19">
        <v>19387000000</v>
      </c>
      <c r="E656" s="1" t="s">
        <v>341</v>
      </c>
      <c r="F656" s="1" t="s">
        <v>5</v>
      </c>
      <c r="G656" s="18">
        <v>1000000000</v>
      </c>
      <c r="L656" s="18">
        <v>1000000</v>
      </c>
      <c r="M656" s="3">
        <v>3.44E-2</v>
      </c>
      <c r="N656" s="17" t="s">
        <v>335</v>
      </c>
      <c r="O656" s="3">
        <v>1.4999999999999999E-2</v>
      </c>
      <c r="Q656" s="5">
        <v>43011</v>
      </c>
      <c r="S656" s="4">
        <f>(Q656-B656)/365.24</f>
        <v>4.9994524148505093</v>
      </c>
    </row>
    <row r="657" spans="1:22">
      <c r="A657" s="1" t="s">
        <v>379</v>
      </c>
      <c r="B657" s="5">
        <v>41372</v>
      </c>
      <c r="C657" s="1" t="s">
        <v>375</v>
      </c>
      <c r="D657" s="19">
        <v>228128000</v>
      </c>
      <c r="E657" s="1" t="s">
        <v>341</v>
      </c>
      <c r="F657" s="1" t="s">
        <v>5</v>
      </c>
      <c r="G657" s="18">
        <v>350000000</v>
      </c>
      <c r="L657" s="18">
        <v>1000000</v>
      </c>
      <c r="M657" s="3">
        <v>2.9700000000000001E-2</v>
      </c>
      <c r="N657" s="17" t="s">
        <v>335</v>
      </c>
      <c r="O657" s="3">
        <v>1.0999999999999999E-2</v>
      </c>
      <c r="Q657" s="5">
        <v>42408</v>
      </c>
      <c r="S657" s="4">
        <f>(Q657-B657)/365.24</f>
        <v>2.8364910743620633</v>
      </c>
    </row>
    <row r="658" spans="1:22">
      <c r="A658" s="1" t="s">
        <v>378</v>
      </c>
      <c r="B658" s="5">
        <v>41295</v>
      </c>
      <c r="C658" s="1" t="s">
        <v>375</v>
      </c>
      <c r="D658" s="19">
        <v>228128000</v>
      </c>
      <c r="E658" s="1" t="s">
        <v>341</v>
      </c>
      <c r="F658" s="1" t="s">
        <v>17</v>
      </c>
      <c r="G658" s="18">
        <v>1100000000</v>
      </c>
      <c r="L658" s="18">
        <v>1000000</v>
      </c>
      <c r="M658" s="3">
        <v>3.6999999999999998E-2</v>
      </c>
      <c r="N658" s="17" t="s">
        <v>335</v>
      </c>
      <c r="Q658" s="5">
        <v>42846</v>
      </c>
      <c r="S658" s="4">
        <f>(Q658-B658)/365.24</f>
        <v>4.246522834300734</v>
      </c>
    </row>
    <row r="659" spans="1:22">
      <c r="A659" s="1" t="s">
        <v>377</v>
      </c>
      <c r="B659" s="5">
        <v>41211</v>
      </c>
      <c r="C659" s="1" t="s">
        <v>375</v>
      </c>
      <c r="D659" s="19">
        <v>630518000</v>
      </c>
      <c r="E659" s="1" t="s">
        <v>341</v>
      </c>
      <c r="F659" s="1" t="s">
        <v>5</v>
      </c>
      <c r="G659" s="18">
        <v>400000000</v>
      </c>
      <c r="L659" s="18">
        <v>1000000</v>
      </c>
      <c r="M659" s="3">
        <v>3.0300000000000001E-2</v>
      </c>
      <c r="N659" s="17" t="s">
        <v>335</v>
      </c>
      <c r="O659" s="3">
        <v>1.17E-2</v>
      </c>
      <c r="Q659" s="5">
        <v>42306</v>
      </c>
      <c r="S659" s="4">
        <f>(Q659-B659)/365.24</f>
        <v>2.9980286934618334</v>
      </c>
    </row>
    <row r="660" spans="1:22">
      <c r="A660" s="1" t="s">
        <v>376</v>
      </c>
      <c r="B660" s="5">
        <v>41047</v>
      </c>
      <c r="C660" s="1" t="s">
        <v>375</v>
      </c>
      <c r="D660" s="19">
        <v>630518000</v>
      </c>
      <c r="E660" s="1" t="s">
        <v>341</v>
      </c>
      <c r="F660" s="1" t="s">
        <v>5</v>
      </c>
      <c r="G660" s="18">
        <v>350000000</v>
      </c>
      <c r="L660" s="18">
        <v>500000</v>
      </c>
      <c r="M660" s="3">
        <v>3.39E-2</v>
      </c>
      <c r="N660" s="17" t="s">
        <v>335</v>
      </c>
      <c r="O660" s="3">
        <v>1.0500000000000001E-2</v>
      </c>
      <c r="Q660" s="5">
        <v>42142</v>
      </c>
      <c r="S660" s="4">
        <f>(Q660-B660)/365.24</f>
        <v>2.9980286934618334</v>
      </c>
    </row>
    <row r="661" spans="1:22">
      <c r="A661" s="1" t="s">
        <v>374</v>
      </c>
      <c r="B661" s="5">
        <v>41184</v>
      </c>
      <c r="C661" s="1" t="s">
        <v>373</v>
      </c>
      <c r="D661" s="19"/>
      <c r="E661" s="1" t="s">
        <v>341</v>
      </c>
      <c r="F661" s="1" t="s">
        <v>5</v>
      </c>
      <c r="G661" s="18">
        <v>380000000</v>
      </c>
      <c r="L661" s="18">
        <v>1000000</v>
      </c>
      <c r="M661" s="3">
        <v>7.9699999999999993E-2</v>
      </c>
      <c r="N661" s="17" t="s">
        <v>335</v>
      </c>
      <c r="O661" s="3">
        <v>0.06</v>
      </c>
      <c r="Q661" s="5">
        <v>43010</v>
      </c>
      <c r="S661" s="4">
        <f>(Q661-B661)/365.24</f>
        <v>4.9994524148505093</v>
      </c>
      <c r="V661" s="1" t="s">
        <v>56</v>
      </c>
    </row>
    <row r="662" spans="1:22">
      <c r="A662" s="1" t="s">
        <v>372</v>
      </c>
      <c r="B662" s="5">
        <v>41215</v>
      </c>
      <c r="C662" s="1" t="s">
        <v>368</v>
      </c>
      <c r="D662" s="19">
        <v>1084025000</v>
      </c>
      <c r="E662" s="1" t="s">
        <v>25</v>
      </c>
      <c r="F662" s="1" t="s">
        <v>5</v>
      </c>
      <c r="G662" s="18">
        <v>300000000</v>
      </c>
      <c r="L662" s="18">
        <v>1000000</v>
      </c>
      <c r="M662" s="3">
        <v>3.4700000000000002E-2</v>
      </c>
      <c r="N662" s="17" t="s">
        <v>335</v>
      </c>
      <c r="O662" s="3">
        <v>1.6E-2</v>
      </c>
      <c r="Q662" s="5">
        <v>43041</v>
      </c>
      <c r="S662" s="4">
        <f>(Q662-B662)/365.24</f>
        <v>4.9994524148505093</v>
      </c>
    </row>
    <row r="663" spans="1:22">
      <c r="A663" s="1" t="s">
        <v>371</v>
      </c>
      <c r="B663" s="5">
        <v>41215</v>
      </c>
      <c r="C663" s="1" t="s">
        <v>368</v>
      </c>
      <c r="D663" s="19">
        <v>1084025000</v>
      </c>
      <c r="E663" s="1" t="s">
        <v>25</v>
      </c>
      <c r="F663" s="1" t="s">
        <v>17</v>
      </c>
      <c r="G663" s="18">
        <v>500000000</v>
      </c>
      <c r="L663" s="18">
        <v>1000000</v>
      </c>
      <c r="M663" s="3">
        <v>4.1000000000000002E-2</v>
      </c>
      <c r="N663" s="17" t="s">
        <v>335</v>
      </c>
      <c r="Q663" s="5">
        <v>43041</v>
      </c>
      <c r="S663" s="4">
        <f>(Q663-B663)/365.24</f>
        <v>4.9994524148505093</v>
      </c>
    </row>
    <row r="664" spans="1:22">
      <c r="A664" s="1" t="s">
        <v>370</v>
      </c>
      <c r="B664" s="5">
        <v>41172</v>
      </c>
      <c r="C664" s="1" t="s">
        <v>368</v>
      </c>
      <c r="D664" s="19">
        <v>1084025000</v>
      </c>
      <c r="E664" s="1" t="s">
        <v>25</v>
      </c>
      <c r="F664" s="1" t="s">
        <v>5</v>
      </c>
      <c r="G664" s="18">
        <v>500000000</v>
      </c>
      <c r="L664" s="18">
        <v>1000000</v>
      </c>
      <c r="M664" s="3">
        <v>3.1699999999999999E-2</v>
      </c>
      <c r="N664" s="17" t="s">
        <v>335</v>
      </c>
      <c r="O664" s="3">
        <v>1.2500000000000001E-2</v>
      </c>
      <c r="Q664" s="5">
        <v>42268</v>
      </c>
      <c r="S664" s="4">
        <f>(Q664-B664)/365.24</f>
        <v>3.000766619209287</v>
      </c>
    </row>
    <row r="665" spans="1:22">
      <c r="A665" s="1" t="s">
        <v>369</v>
      </c>
      <c r="B665" s="5">
        <v>40618</v>
      </c>
      <c r="C665" s="1" t="s">
        <v>368</v>
      </c>
      <c r="D665" s="19">
        <v>1154939000</v>
      </c>
      <c r="E665" s="1" t="s">
        <v>25</v>
      </c>
      <c r="F665" s="1" t="s">
        <v>5</v>
      </c>
      <c r="G665" s="18">
        <v>1000000000</v>
      </c>
      <c r="L665" s="18">
        <v>500000</v>
      </c>
      <c r="M665" s="3">
        <v>3.73E-2</v>
      </c>
      <c r="N665" s="17" t="s">
        <v>335</v>
      </c>
      <c r="O665" s="3">
        <v>1.17E-2</v>
      </c>
      <c r="Q665" s="5">
        <v>42445</v>
      </c>
      <c r="S665" s="4">
        <f>(Q665-B665)/365.24</f>
        <v>5.0021903405979629</v>
      </c>
    </row>
    <row r="666" spans="1:22">
      <c r="A666" s="1" t="s">
        <v>367</v>
      </c>
      <c r="B666" s="5">
        <v>41526</v>
      </c>
      <c r="C666" s="1" t="s">
        <v>363</v>
      </c>
      <c r="D666" s="19">
        <v>70262000</v>
      </c>
      <c r="E666" s="1" t="s">
        <v>338</v>
      </c>
      <c r="F666" s="1" t="s">
        <v>5</v>
      </c>
      <c r="G666" s="18">
        <v>300000000</v>
      </c>
      <c r="L666" s="18">
        <v>1000000</v>
      </c>
      <c r="M666" s="3">
        <v>2.5499999999999998E-2</v>
      </c>
      <c r="N666" s="17" t="s">
        <v>335</v>
      </c>
      <c r="O666" s="3">
        <v>8.3000000000000001E-3</v>
      </c>
      <c r="Q666" s="5">
        <v>42622</v>
      </c>
      <c r="S666" s="4">
        <f>(Q666-B666)/365.24</f>
        <v>3.000766619209287</v>
      </c>
    </row>
    <row r="667" spans="1:22">
      <c r="A667" s="1" t="s">
        <v>366</v>
      </c>
      <c r="B667" s="5">
        <v>41051</v>
      </c>
      <c r="C667" s="1" t="s">
        <v>363</v>
      </c>
      <c r="D667" s="19">
        <v>133247000</v>
      </c>
      <c r="E667" s="1" t="s">
        <v>338</v>
      </c>
      <c r="F667" s="1" t="s">
        <v>5</v>
      </c>
      <c r="G667" s="18">
        <v>300000000</v>
      </c>
      <c r="L667" s="18">
        <v>1000000</v>
      </c>
      <c r="M667" s="3">
        <v>4.3400000000000001E-2</v>
      </c>
      <c r="N667" s="17" t="s">
        <v>335</v>
      </c>
      <c r="O667" s="3">
        <v>0.02</v>
      </c>
      <c r="Q667" s="5">
        <v>42877</v>
      </c>
      <c r="S667" s="4">
        <f>(Q667-B667)/365.24</f>
        <v>4.9994524148505093</v>
      </c>
    </row>
    <row r="668" spans="1:22">
      <c r="A668" s="1" t="s">
        <v>365</v>
      </c>
      <c r="B668" s="5">
        <v>41050</v>
      </c>
      <c r="C668" s="1" t="s">
        <v>363</v>
      </c>
      <c r="D668" s="19">
        <v>133247000</v>
      </c>
      <c r="E668" s="1" t="s">
        <v>338</v>
      </c>
      <c r="F668" s="1" t="s">
        <v>5</v>
      </c>
      <c r="G668" s="18">
        <v>300000000</v>
      </c>
      <c r="L668" s="18">
        <v>1000000</v>
      </c>
      <c r="M668" s="3">
        <v>3.39E-2</v>
      </c>
      <c r="N668" s="17" t="s">
        <v>335</v>
      </c>
      <c r="O668" s="3">
        <v>1.0500000000000001E-2</v>
      </c>
      <c r="Q668" s="5">
        <v>41780</v>
      </c>
      <c r="S668" s="4">
        <f>(Q668-B668)/365.24</f>
        <v>1.9986857956412221</v>
      </c>
    </row>
    <row r="669" spans="1:22">
      <c r="A669" s="1" t="s">
        <v>364</v>
      </c>
      <c r="B669" s="5">
        <v>40557</v>
      </c>
      <c r="C669" s="1" t="s">
        <v>363</v>
      </c>
      <c r="D669" s="19">
        <v>116883000</v>
      </c>
      <c r="E669" s="1" t="s">
        <v>338</v>
      </c>
      <c r="F669" s="1" t="s">
        <v>5</v>
      </c>
      <c r="G669" s="18">
        <v>125000000</v>
      </c>
      <c r="L669" s="18">
        <v>500000</v>
      </c>
      <c r="M669" s="3">
        <v>3.9100000000000003E-2</v>
      </c>
      <c r="N669" s="17" t="s">
        <v>335</v>
      </c>
      <c r="O669" s="3">
        <v>1.2999999999999999E-2</v>
      </c>
      <c r="Q669" s="5">
        <v>42383</v>
      </c>
      <c r="S669" s="4">
        <f>(Q669-B669)/365.24</f>
        <v>4.9994524148505093</v>
      </c>
    </row>
    <row r="670" spans="1:22">
      <c r="A670" s="1" t="s">
        <v>362</v>
      </c>
      <c r="B670" s="5">
        <v>41449</v>
      </c>
      <c r="C670" s="1" t="s">
        <v>360</v>
      </c>
      <c r="D670" s="19">
        <v>897600000</v>
      </c>
      <c r="E670" s="1" t="s">
        <v>53</v>
      </c>
      <c r="F670" s="1" t="s">
        <v>17</v>
      </c>
      <c r="G670" s="18">
        <v>100000000</v>
      </c>
      <c r="L670" s="18">
        <v>500000</v>
      </c>
      <c r="M670" s="3">
        <v>0.11</v>
      </c>
      <c r="Q670" s="5">
        <v>41906</v>
      </c>
      <c r="S670" s="4">
        <f>(Q670-B670)/365.24</f>
        <v>1.2512320665863541</v>
      </c>
    </row>
    <row r="671" spans="1:22">
      <c r="A671" s="1" t="s">
        <v>361</v>
      </c>
      <c r="B671" s="5">
        <v>40989</v>
      </c>
      <c r="C671" s="1" t="s">
        <v>360</v>
      </c>
      <c r="D671" s="19">
        <v>152900000</v>
      </c>
      <c r="E671" s="1" t="s">
        <v>53</v>
      </c>
      <c r="F671" s="1" t="s">
        <v>5</v>
      </c>
      <c r="G671" s="18">
        <v>385000000</v>
      </c>
      <c r="L671" s="18">
        <v>500000</v>
      </c>
      <c r="M671" s="3">
        <v>0.1057</v>
      </c>
      <c r="N671" s="17" t="s">
        <v>335</v>
      </c>
      <c r="O671" s="3">
        <v>8.2500000000000004E-2</v>
      </c>
      <c r="Q671" s="5">
        <v>42815</v>
      </c>
      <c r="S671" s="4">
        <f>(Q671-B671)/365.24</f>
        <v>4.9994524148505093</v>
      </c>
    </row>
    <row r="672" spans="1:22">
      <c r="A672" s="1" t="s">
        <v>359</v>
      </c>
      <c r="B672" s="5">
        <v>41460</v>
      </c>
      <c r="C672" s="1" t="s">
        <v>358</v>
      </c>
      <c r="D672" s="19"/>
      <c r="E672" s="1" t="s">
        <v>53</v>
      </c>
      <c r="F672" s="1" t="s">
        <v>5</v>
      </c>
      <c r="G672" s="18">
        <v>640000000</v>
      </c>
      <c r="L672" s="18">
        <v>1000000</v>
      </c>
      <c r="M672" s="3">
        <f>1.66%+O672</f>
        <v>8.1600000000000006E-2</v>
      </c>
      <c r="N672" s="17" t="s">
        <v>335</v>
      </c>
      <c r="O672" s="3">
        <v>6.5000000000000002E-2</v>
      </c>
      <c r="Q672" s="5">
        <v>42556</v>
      </c>
      <c r="S672" s="4">
        <f>(Q672-B672)/365.24</f>
        <v>3.000766619209287</v>
      </c>
    </row>
    <row r="673" spans="1:22">
      <c r="A673" s="1" t="s">
        <v>357</v>
      </c>
      <c r="B673" s="5">
        <v>41424</v>
      </c>
      <c r="C673" s="1" t="s">
        <v>356</v>
      </c>
      <c r="D673" s="19"/>
      <c r="E673" s="1" t="s">
        <v>53</v>
      </c>
      <c r="F673" s="1" t="s">
        <v>5</v>
      </c>
      <c r="G673" s="18">
        <v>275000000</v>
      </c>
      <c r="L673" s="18">
        <v>100000</v>
      </c>
      <c r="M673" s="3">
        <f>1.77%+O673</f>
        <v>7.7699999999999991E-2</v>
      </c>
      <c r="N673" s="17" t="s">
        <v>335</v>
      </c>
      <c r="O673" s="3">
        <v>0.06</v>
      </c>
      <c r="Q673" s="5">
        <v>43250</v>
      </c>
      <c r="S673" s="4">
        <f>(Q673-B673)/365.24</f>
        <v>4.9994524148505093</v>
      </c>
      <c r="V673" s="1" t="s">
        <v>56</v>
      </c>
    </row>
    <row r="674" spans="1:22">
      <c r="A674" s="1" t="s">
        <v>355</v>
      </c>
      <c r="B674" s="5">
        <v>41289</v>
      </c>
      <c r="C674" s="1" t="s">
        <v>354</v>
      </c>
      <c r="D674" s="19">
        <v>32976718</v>
      </c>
      <c r="E674" s="1" t="s">
        <v>53</v>
      </c>
      <c r="F674" s="1" t="s">
        <v>5</v>
      </c>
      <c r="G674" s="18">
        <v>150000000</v>
      </c>
      <c r="L674" s="18">
        <v>1000000</v>
      </c>
      <c r="M674" s="3">
        <v>0.1187</v>
      </c>
      <c r="N674" s="17" t="s">
        <v>335</v>
      </c>
      <c r="O674" s="3">
        <v>0.1</v>
      </c>
      <c r="Q674" s="5">
        <v>42384</v>
      </c>
      <c r="S674" s="4">
        <f>(Q674-B674)/365.24</f>
        <v>2.9980286934618334</v>
      </c>
      <c r="V674" s="1" t="s">
        <v>56</v>
      </c>
    </row>
    <row r="675" spans="1:22">
      <c r="A675" s="1" t="s">
        <v>353</v>
      </c>
      <c r="B675" s="5">
        <v>41663</v>
      </c>
      <c r="C675" s="1" t="s">
        <v>344</v>
      </c>
      <c r="D675" s="19">
        <v>331856000</v>
      </c>
      <c r="E675" s="1" t="s">
        <v>338</v>
      </c>
      <c r="F675" s="1" t="s">
        <v>33</v>
      </c>
      <c r="G675" s="18">
        <v>1000000000</v>
      </c>
      <c r="L675" s="18">
        <v>1000000</v>
      </c>
      <c r="M675" s="3">
        <v>2.3199999999999998E-2</v>
      </c>
      <c r="N675" s="17" t="s">
        <v>335</v>
      </c>
      <c r="O675" s="3">
        <v>6.7000000000000002E-3</v>
      </c>
      <c r="Q675" s="5">
        <v>43489</v>
      </c>
      <c r="R675" s="5">
        <v>43854</v>
      </c>
      <c r="S675" s="4">
        <f>(Q675-B675)/365.24</f>
        <v>4.9994524148505093</v>
      </c>
    </row>
    <row r="676" spans="1:22">
      <c r="A676" s="1" t="s">
        <v>352</v>
      </c>
      <c r="B676" s="5">
        <v>41521</v>
      </c>
      <c r="C676" s="1" t="s">
        <v>344</v>
      </c>
      <c r="D676" s="19">
        <v>255726000</v>
      </c>
      <c r="E676" s="1" t="s">
        <v>338</v>
      </c>
      <c r="F676" s="1" t="s">
        <v>33</v>
      </c>
      <c r="G676" s="18">
        <v>800000000</v>
      </c>
      <c r="L676" s="18">
        <v>1000000</v>
      </c>
      <c r="M676" s="3">
        <v>3.3799999999999997E-2</v>
      </c>
      <c r="N676" s="17" t="s">
        <v>335</v>
      </c>
      <c r="O676" s="3">
        <v>7.3000000000000001E-3</v>
      </c>
      <c r="Q676" s="5">
        <v>43438</v>
      </c>
      <c r="R676" s="5">
        <v>43803</v>
      </c>
      <c r="S676" s="4">
        <f>(Q676-B676)/365.24</f>
        <v>5.2486036578687987</v>
      </c>
    </row>
    <row r="677" spans="1:22">
      <c r="A677" s="1" t="s">
        <v>351</v>
      </c>
      <c r="B677" s="5">
        <v>41367</v>
      </c>
      <c r="C677" s="1" t="s">
        <v>344</v>
      </c>
      <c r="D677" s="19">
        <v>255726000</v>
      </c>
      <c r="E677" s="1" t="s">
        <v>338</v>
      </c>
      <c r="F677" s="1" t="s">
        <v>33</v>
      </c>
      <c r="G677" s="18">
        <v>1000000000</v>
      </c>
      <c r="L677" s="18">
        <v>500000</v>
      </c>
      <c r="M677" s="3">
        <v>2.3099999999999999E-2</v>
      </c>
      <c r="N677" s="17" t="s">
        <v>335</v>
      </c>
      <c r="O677" s="3">
        <v>4.5999999999999999E-3</v>
      </c>
      <c r="Q677" s="5">
        <v>42464</v>
      </c>
      <c r="R677" s="5">
        <v>42829</v>
      </c>
      <c r="S677" s="4">
        <f>(Q677-B677)/365.24</f>
        <v>3.0035045449567406</v>
      </c>
    </row>
    <row r="678" spans="1:22">
      <c r="A678" s="1" t="s">
        <v>350</v>
      </c>
      <c r="B678" s="5">
        <v>41355</v>
      </c>
      <c r="C678" s="1" t="s">
        <v>344</v>
      </c>
      <c r="D678" s="19">
        <v>255726000</v>
      </c>
      <c r="E678" s="1" t="s">
        <v>338</v>
      </c>
      <c r="F678" s="1" t="s">
        <v>33</v>
      </c>
      <c r="G678" s="18">
        <v>1000000000</v>
      </c>
      <c r="L678" s="18">
        <v>1000000</v>
      </c>
      <c r="M678" s="3">
        <v>2.5700000000000001E-2</v>
      </c>
      <c r="N678" s="17" t="s">
        <v>335</v>
      </c>
      <c r="O678" s="3">
        <v>7.1999999999999998E-3</v>
      </c>
      <c r="Q678" s="5">
        <v>43242</v>
      </c>
      <c r="R678" s="5">
        <v>43607</v>
      </c>
      <c r="S678" s="4">
        <f>(Q678-B678)/365.24</f>
        <v>5.166465885445187</v>
      </c>
    </row>
    <row r="679" spans="1:22">
      <c r="A679" s="1" t="s">
        <v>349</v>
      </c>
      <c r="B679" s="5">
        <v>41166</v>
      </c>
      <c r="C679" s="1" t="s">
        <v>344</v>
      </c>
      <c r="D679" s="19">
        <v>90542000</v>
      </c>
      <c r="E679" s="1" t="s">
        <v>338</v>
      </c>
      <c r="F679" s="1" t="s">
        <v>33</v>
      </c>
      <c r="G679" s="18">
        <v>800000000</v>
      </c>
      <c r="L679" s="18">
        <v>500000</v>
      </c>
      <c r="M679" s="3">
        <v>2.58E-2</v>
      </c>
      <c r="N679" s="17" t="s">
        <v>335</v>
      </c>
      <c r="O679" s="3">
        <v>6.4000000000000003E-3</v>
      </c>
      <c r="Q679" s="5">
        <v>42261</v>
      </c>
      <c r="R679" s="5">
        <v>42627</v>
      </c>
      <c r="S679" s="4">
        <f>(Q679-B679)/365.24</f>
        <v>2.9980286934618334</v>
      </c>
    </row>
    <row r="680" spans="1:22">
      <c r="A680" s="1" t="s">
        <v>348</v>
      </c>
      <c r="B680" s="5">
        <v>41166</v>
      </c>
      <c r="C680" s="1" t="s">
        <v>344</v>
      </c>
      <c r="D680" s="19">
        <v>90542000</v>
      </c>
      <c r="E680" s="1" t="s">
        <v>338</v>
      </c>
      <c r="F680" s="1" t="s">
        <v>33</v>
      </c>
      <c r="G680" s="18">
        <v>800000000</v>
      </c>
      <c r="L680" s="18">
        <v>100000</v>
      </c>
      <c r="M680" s="3">
        <v>2.8400000000000002E-2</v>
      </c>
      <c r="N680" s="17" t="s">
        <v>335</v>
      </c>
      <c r="O680" s="3">
        <v>8.9999999999999993E-3</v>
      </c>
      <c r="Q680" s="5">
        <v>42992</v>
      </c>
      <c r="R680" s="5">
        <v>43357</v>
      </c>
      <c r="S680" s="4">
        <f>(Q680-B680)/365.24</f>
        <v>4.9994524148505093</v>
      </c>
    </row>
    <row r="681" spans="1:22">
      <c r="A681" s="1" t="s">
        <v>347</v>
      </c>
      <c r="B681" s="5">
        <v>41096</v>
      </c>
      <c r="C681" s="1" t="s">
        <v>344</v>
      </c>
      <c r="D681" s="19">
        <v>90542000</v>
      </c>
      <c r="E681" s="1" t="s">
        <v>338</v>
      </c>
      <c r="F681" s="1" t="s">
        <v>33</v>
      </c>
      <c r="G681" s="18">
        <v>1000000000</v>
      </c>
      <c r="L681" s="18">
        <v>500000</v>
      </c>
      <c r="M681" s="3">
        <v>3.2099999999999997E-2</v>
      </c>
      <c r="N681" s="17" t="s">
        <v>335</v>
      </c>
      <c r="O681" s="3">
        <v>9.4999999999999998E-3</v>
      </c>
      <c r="Q681" s="5">
        <v>42557</v>
      </c>
      <c r="R681" s="5">
        <v>42922</v>
      </c>
      <c r="S681" s="4">
        <f>(Q681-B681)/365.24</f>
        <v>4.0001095170298981</v>
      </c>
    </row>
    <row r="682" spans="1:22">
      <c r="A682" s="1" t="s">
        <v>346</v>
      </c>
      <c r="B682" s="5">
        <v>40982</v>
      </c>
      <c r="C682" s="1" t="s">
        <v>344</v>
      </c>
      <c r="D682" s="19">
        <v>90542000</v>
      </c>
      <c r="E682" s="1" t="s">
        <v>338</v>
      </c>
      <c r="F682" s="1" t="s">
        <v>33</v>
      </c>
      <c r="G682" s="18">
        <v>200000000</v>
      </c>
      <c r="L682" s="18">
        <v>500000</v>
      </c>
      <c r="M682" s="3">
        <v>0.04</v>
      </c>
      <c r="N682" s="17" t="s">
        <v>335</v>
      </c>
      <c r="O682" s="3">
        <v>9.5999999999999992E-3</v>
      </c>
      <c r="Q682" s="5">
        <v>42808</v>
      </c>
      <c r="R682" s="5">
        <v>43173</v>
      </c>
      <c r="S682" s="4">
        <f>(Q682-B682)/365.24</f>
        <v>4.9994524148505093</v>
      </c>
    </row>
    <row r="683" spans="1:22">
      <c r="A683" s="1" t="s">
        <v>345</v>
      </c>
      <c r="B683" s="5">
        <v>40806</v>
      </c>
      <c r="C683" s="1" t="s">
        <v>344</v>
      </c>
      <c r="D683" s="19">
        <v>33110000</v>
      </c>
      <c r="E683" s="1" t="s">
        <v>338</v>
      </c>
      <c r="F683" s="1" t="s">
        <v>33</v>
      </c>
      <c r="G683" s="18">
        <v>600000000</v>
      </c>
      <c r="L683" s="18">
        <v>500000</v>
      </c>
      <c r="M683" s="3">
        <v>3.7199999999999997E-2</v>
      </c>
      <c r="N683" s="17" t="s">
        <v>335</v>
      </c>
      <c r="O683" s="3">
        <v>6.1999999999999998E-3</v>
      </c>
      <c r="Q683" s="5">
        <v>42114</v>
      </c>
      <c r="R683" s="5">
        <v>42480</v>
      </c>
      <c r="S683" s="4">
        <f>(Q683-B683)/365.24</f>
        <v>3.5812068776694774</v>
      </c>
    </row>
    <row r="684" spans="1:22">
      <c r="A684" s="1" t="s">
        <v>343</v>
      </c>
      <c r="B684" s="5">
        <v>40693</v>
      </c>
      <c r="C684" s="1" t="s">
        <v>342</v>
      </c>
      <c r="D684" s="19">
        <v>5508000000</v>
      </c>
      <c r="E684" s="1" t="s">
        <v>341</v>
      </c>
      <c r="F684" s="1" t="s">
        <v>5</v>
      </c>
      <c r="G684" s="18">
        <v>1000000000</v>
      </c>
      <c r="L684" s="18">
        <v>500000</v>
      </c>
      <c r="M684" s="3">
        <v>3.5999999999999997E-2</v>
      </c>
      <c r="N684" s="17" t="s">
        <v>335</v>
      </c>
      <c r="O684" s="3">
        <v>7.4999999999999997E-3</v>
      </c>
      <c r="Q684" s="5">
        <v>41789</v>
      </c>
      <c r="S684" s="4">
        <f>(Q684-B684)/365.24</f>
        <v>3.000766619209287</v>
      </c>
      <c r="V684" s="1" t="s">
        <v>28</v>
      </c>
    </row>
    <row r="685" spans="1:22">
      <c r="A685" s="1" t="s">
        <v>340</v>
      </c>
      <c r="B685" s="5">
        <v>41597</v>
      </c>
      <c r="C685" s="1" t="s">
        <v>339</v>
      </c>
      <c r="D685" s="19">
        <v>148006000</v>
      </c>
      <c r="E685" s="1" t="s">
        <v>338</v>
      </c>
      <c r="F685" s="1" t="s">
        <v>5</v>
      </c>
      <c r="G685" s="18">
        <v>40000000</v>
      </c>
      <c r="L685" s="18">
        <v>100000</v>
      </c>
      <c r="M685" s="3">
        <f>0.0165+O685</f>
        <v>5.3999999999999999E-2</v>
      </c>
      <c r="N685" s="17" t="s">
        <v>335</v>
      </c>
      <c r="O685" s="3">
        <v>3.7499999999999999E-2</v>
      </c>
      <c r="Q685" s="5">
        <v>45250</v>
      </c>
      <c r="S685" s="4">
        <f>(Q685-B685)/365.24</f>
        <v>10.001642755448472</v>
      </c>
      <c r="V685" s="1" t="s">
        <v>56</v>
      </c>
    </row>
    <row r="686" spans="1:22">
      <c r="A686" s="1" t="s">
        <v>337</v>
      </c>
      <c r="B686" s="5">
        <v>41383</v>
      </c>
      <c r="C686" s="1" t="s">
        <v>336</v>
      </c>
      <c r="D686" s="19">
        <f>1143580000*6</f>
        <v>6861480000</v>
      </c>
      <c r="E686" s="1" t="s">
        <v>53</v>
      </c>
      <c r="F686" s="1" t="s">
        <v>5</v>
      </c>
      <c r="G686" s="18">
        <v>300000000</v>
      </c>
      <c r="L686" s="18">
        <v>1000000</v>
      </c>
      <c r="M686" s="3">
        <v>8.5400000000000004E-2</v>
      </c>
      <c r="N686" s="17" t="s">
        <v>335</v>
      </c>
      <c r="O686" s="3">
        <v>6.7500000000000004E-2</v>
      </c>
      <c r="Q686" s="5">
        <v>42844</v>
      </c>
      <c r="S686" s="4">
        <f>(Q686-B686)/365.24</f>
        <v>4.0001095170298981</v>
      </c>
      <c r="V686" s="1" t="s">
        <v>56</v>
      </c>
    </row>
    <row r="722" spans="4:15">
      <c r="D722" s="18"/>
      <c r="H722" s="18"/>
      <c r="I722" s="3"/>
      <c r="K722" s="2"/>
      <c r="M722" s="1"/>
      <c r="O722" s="1"/>
    </row>
  </sheetData>
  <mergeCells count="1">
    <mergeCell ref="A1:B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Prospekt Oslo Børs</vt:lpstr>
      <vt:lpstr>Låneavtaler Nordic ABM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Erland Blokkum</dc:creator>
  <cp:lastModifiedBy>Erland Blokkum</cp:lastModifiedBy>
  <dcterms:created xsi:type="dcterms:W3CDTF">2014-06-10T17:53:59Z</dcterms:created>
  <dcterms:modified xsi:type="dcterms:W3CDTF">2014-06-10T18:21:54Z</dcterms:modified>
</cp:coreProperties>
</file>