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is-my.sharepoint.com/personal/241915_uis_no/Documents/Master Magnus og Svein/"/>
    </mc:Choice>
  </mc:AlternateContent>
  <xr:revisionPtr revIDLastSave="0" documentId="8_{6664A221-8970-40C6-B32C-0DFCF9220A93}" xr6:coauthVersionLast="43" xr6:coauthVersionMax="43" xr10:uidLastSave="{00000000-0000-0000-0000-000000000000}"/>
  <bookViews>
    <workbookView xWindow="-110" yWindow="-110" windowWidth="19420" windowHeight="10420" xr2:uid="{2D8A8AAB-2EE3-B942-87EF-947D3DC75470}"/>
  </bookViews>
  <sheets>
    <sheet name="Emission sources and quantities" sheetId="1" r:id="rId1"/>
    <sheet name="Average Costs and %" sheetId="4" r:id="rId2"/>
    <sheet name="Global CO2 emissions by sec " sheetId="7" r:id="rId3"/>
  </sheets>
  <definedNames>
    <definedName name="_xlnm._FilterDatabase" localSheetId="0" hidden="1">'Emission sources and quantities'!$B$4:$I$147</definedName>
    <definedName name="Price_capturable_CO2">'Emission sources and quantities'!$R$18</definedName>
    <definedName name="Price_in_total">'Emission sources and quantities'!$P$18</definedName>
    <definedName name="Total_emission">'Emission sources and quantities'!$N$18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M94" i="1"/>
  <c r="M93" i="1"/>
  <c r="G15" i="7"/>
  <c r="G14" i="7"/>
  <c r="C23" i="7" l="1"/>
  <c r="C24" i="7"/>
  <c r="C14" i="7"/>
  <c r="D14" i="7" s="1"/>
  <c r="D11" i="7"/>
  <c r="C11" i="7"/>
  <c r="C10" i="7" s="1"/>
  <c r="O22" i="1"/>
  <c r="F12" i="1"/>
  <c r="E19" i="4"/>
  <c r="M19" i="4"/>
  <c r="L6" i="4"/>
  <c r="L7" i="4"/>
  <c r="L8" i="4"/>
  <c r="L9" i="4"/>
  <c r="L10" i="4"/>
  <c r="L11" i="4"/>
  <c r="L12" i="4"/>
  <c r="L5" i="4"/>
  <c r="K19" i="4"/>
  <c r="G19" i="4"/>
  <c r="C19" i="4"/>
  <c r="I5" i="4"/>
  <c r="I19" i="4" s="1"/>
  <c r="H6" i="4"/>
  <c r="H7" i="4"/>
  <c r="H8" i="4"/>
  <c r="H9" i="4"/>
  <c r="H10" i="4"/>
  <c r="H11" i="4"/>
  <c r="H12" i="4"/>
  <c r="H13" i="4"/>
  <c r="H14" i="4"/>
  <c r="H5" i="4"/>
  <c r="D6" i="4"/>
  <c r="D7" i="4"/>
  <c r="D8" i="4"/>
  <c r="D9" i="4"/>
  <c r="D10" i="4"/>
  <c r="D11" i="4"/>
  <c r="D12" i="4"/>
  <c r="D13" i="4"/>
  <c r="D14" i="4"/>
  <c r="D15" i="4"/>
  <c r="D16" i="4"/>
  <c r="D5" i="4"/>
  <c r="M119" i="1"/>
  <c r="L39" i="1"/>
  <c r="L38" i="1"/>
  <c r="L37" i="1"/>
  <c r="N17" i="1"/>
  <c r="P17" i="1" s="1"/>
  <c r="R17" i="1" s="1"/>
  <c r="N16" i="1"/>
  <c r="L41" i="1" l="1"/>
  <c r="C13" i="7"/>
  <c r="D13" i="7" s="1"/>
  <c r="C15" i="7"/>
  <c r="D15" i="7" s="1"/>
  <c r="C7" i="7"/>
  <c r="C8" i="7"/>
  <c r="C9" i="7"/>
  <c r="C6" i="7"/>
  <c r="L19" i="4"/>
  <c r="D19" i="4"/>
  <c r="H19" i="4"/>
  <c r="L40" i="1"/>
  <c r="H143" i="1"/>
  <c r="I143" i="1" s="1"/>
  <c r="H144" i="1"/>
  <c r="I144" i="1" s="1"/>
  <c r="H46" i="1"/>
  <c r="I46" i="1" s="1"/>
  <c r="H48" i="1"/>
  <c r="I48" i="1" s="1"/>
  <c r="H51" i="1"/>
  <c r="I51" i="1" s="1"/>
  <c r="H53" i="1"/>
  <c r="H54" i="1"/>
  <c r="I54" i="1" s="1"/>
  <c r="H60" i="1"/>
  <c r="I60" i="1" s="1"/>
  <c r="H61" i="1"/>
  <c r="I61" i="1" s="1"/>
  <c r="H62" i="1"/>
  <c r="I62" i="1" s="1"/>
  <c r="H64" i="1"/>
  <c r="I64" i="1" s="1"/>
  <c r="H65" i="1"/>
  <c r="I65" i="1" s="1"/>
  <c r="H66" i="1"/>
  <c r="I66" i="1" s="1"/>
  <c r="H69" i="1"/>
  <c r="I69" i="1" s="1"/>
  <c r="H71" i="1"/>
  <c r="I71" i="1" s="1"/>
  <c r="H73" i="1"/>
  <c r="I73" i="1" s="1"/>
  <c r="H79" i="1"/>
  <c r="H80" i="1"/>
  <c r="I80" i="1" s="1"/>
  <c r="H81" i="1"/>
  <c r="I81" i="1" s="1"/>
  <c r="H83" i="1"/>
  <c r="I83" i="1" s="1"/>
  <c r="H85" i="1"/>
  <c r="I85" i="1" s="1"/>
  <c r="H88" i="1"/>
  <c r="I88" i="1" s="1"/>
  <c r="H89" i="1"/>
  <c r="I89" i="1" s="1"/>
  <c r="H90" i="1"/>
  <c r="I90" i="1" s="1"/>
  <c r="H93" i="1"/>
  <c r="I93" i="1" s="1"/>
  <c r="H96" i="1"/>
  <c r="I96" i="1" s="1"/>
  <c r="H97" i="1"/>
  <c r="I97" i="1" s="1"/>
  <c r="H98" i="1"/>
  <c r="I98" i="1" s="1"/>
  <c r="H100" i="1"/>
  <c r="I100" i="1" s="1"/>
  <c r="H103" i="1"/>
  <c r="I103" i="1" s="1"/>
  <c r="H104" i="1"/>
  <c r="I104" i="1" s="1"/>
  <c r="H105" i="1"/>
  <c r="I105" i="1" s="1"/>
  <c r="H108" i="1"/>
  <c r="I108" i="1" s="1"/>
  <c r="H109" i="1"/>
  <c r="I109" i="1" s="1"/>
  <c r="H110" i="1"/>
  <c r="I110" i="1" s="1"/>
  <c r="H112" i="1"/>
  <c r="I112" i="1" s="1"/>
  <c r="H118" i="1"/>
  <c r="I118" i="1" s="1"/>
  <c r="H120" i="1"/>
  <c r="I120" i="1" s="1"/>
  <c r="H121" i="1"/>
  <c r="I121" i="1" s="1"/>
  <c r="H122" i="1"/>
  <c r="I122" i="1" s="1"/>
  <c r="H123" i="1"/>
  <c r="I123" i="1" s="1"/>
  <c r="H125" i="1"/>
  <c r="I125" i="1" s="1"/>
  <c r="H128" i="1"/>
  <c r="I128" i="1" s="1"/>
  <c r="H129" i="1"/>
  <c r="I129" i="1" s="1"/>
  <c r="H130" i="1"/>
  <c r="I130" i="1" s="1"/>
  <c r="H131" i="1"/>
  <c r="I131" i="1" s="1"/>
  <c r="H132" i="1"/>
  <c r="I132" i="1" s="1"/>
  <c r="H140" i="1"/>
  <c r="I140" i="1" s="1"/>
  <c r="H141" i="1"/>
  <c r="I141" i="1" s="1"/>
  <c r="H6" i="1"/>
  <c r="I6" i="1" s="1"/>
  <c r="H7" i="1"/>
  <c r="I7" i="1" s="1"/>
  <c r="H9" i="1"/>
  <c r="I9" i="1" s="1"/>
  <c r="H13" i="1"/>
  <c r="I13" i="1" s="1"/>
  <c r="H25" i="1"/>
  <c r="I25" i="1" s="1"/>
  <c r="H32" i="1"/>
  <c r="I32" i="1" s="1"/>
  <c r="H35" i="1"/>
  <c r="I35" i="1" s="1"/>
  <c r="H37" i="1"/>
  <c r="I37" i="1" s="1"/>
  <c r="M16" i="1"/>
  <c r="H76" i="1" s="1"/>
  <c r="I76" i="1" s="1"/>
  <c r="M14" i="1"/>
  <c r="H44" i="1" s="1"/>
  <c r="I44" i="1" s="1"/>
  <c r="M15" i="1"/>
  <c r="H84" i="1" s="1"/>
  <c r="I84" i="1" s="1"/>
  <c r="O119" i="1"/>
  <c r="M13" i="1" s="1"/>
  <c r="H58" i="1" s="1"/>
  <c r="I58" i="1" s="1"/>
  <c r="M118" i="1"/>
  <c r="O118" i="1" s="1"/>
  <c r="M12" i="1" s="1"/>
  <c r="H68" i="1" s="1"/>
  <c r="I68" i="1" s="1"/>
  <c r="M117" i="1"/>
  <c r="O117" i="1" s="1"/>
  <c r="M9" i="1" s="1"/>
  <c r="H56" i="1" s="1"/>
  <c r="I56" i="1" s="1"/>
  <c r="M116" i="1"/>
  <c r="O116" i="1" s="1"/>
  <c r="M5" i="1" s="1"/>
  <c r="H146" i="1" s="1"/>
  <c r="I146" i="1" s="1"/>
  <c r="M11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5" i="1"/>
  <c r="N15" i="1"/>
  <c r="I79" i="1"/>
  <c r="N22" i="1"/>
  <c r="Q22" i="1" s="1"/>
  <c r="N21" i="1"/>
  <c r="O21" i="1" s="1"/>
  <c r="Q21" i="1" s="1"/>
  <c r="D53" i="1"/>
  <c r="N5" i="1"/>
  <c r="N6" i="1"/>
  <c r="N7" i="1"/>
  <c r="N8" i="1"/>
  <c r="N9" i="1"/>
  <c r="N11" i="1"/>
  <c r="P11" i="1" s="1"/>
  <c r="R11" i="1" s="1"/>
  <c r="N12" i="1"/>
  <c r="N13" i="1"/>
  <c r="N14" i="1"/>
  <c r="O115" i="1" l="1"/>
  <c r="M8" i="1" s="1"/>
  <c r="N23" i="1"/>
  <c r="P9" i="1"/>
  <c r="R9" i="1" s="1"/>
  <c r="P12" i="1"/>
  <c r="R12" i="1" s="1"/>
  <c r="N10" i="1"/>
  <c r="C29" i="7" s="1"/>
  <c r="O23" i="1"/>
  <c r="O24" i="1" s="1"/>
  <c r="N24" i="1"/>
  <c r="I53" i="1"/>
  <c r="L23" i="1" s="1"/>
  <c r="M23" i="1" s="1"/>
  <c r="C28" i="7"/>
  <c r="P6" i="1"/>
  <c r="R6" i="1" s="1"/>
  <c r="H135" i="1"/>
  <c r="I135" i="1" s="1"/>
  <c r="H115" i="1"/>
  <c r="I115" i="1" s="1"/>
  <c r="H114" i="1"/>
  <c r="I114" i="1" s="1"/>
  <c r="H87" i="1"/>
  <c r="I87" i="1" s="1"/>
  <c r="H12" i="1"/>
  <c r="I12" i="1" s="1"/>
  <c r="L22" i="1"/>
  <c r="M22" i="1" s="1"/>
  <c r="H86" i="1"/>
  <c r="I86" i="1" s="1"/>
  <c r="H41" i="1"/>
  <c r="I41" i="1" s="1"/>
  <c r="H137" i="1"/>
  <c r="I137" i="1" s="1"/>
  <c r="P13" i="1"/>
  <c r="R13" i="1" s="1"/>
  <c r="H91" i="1"/>
  <c r="I91" i="1" s="1"/>
  <c r="H33" i="1"/>
  <c r="I33" i="1" s="1"/>
  <c r="H21" i="1"/>
  <c r="I21" i="1" s="1"/>
  <c r="H119" i="1"/>
  <c r="I119" i="1" s="1"/>
  <c r="H99" i="1"/>
  <c r="I99" i="1" s="1"/>
  <c r="H95" i="1"/>
  <c r="I95" i="1" s="1"/>
  <c r="H40" i="1"/>
  <c r="I40" i="1" s="1"/>
  <c r="H17" i="1"/>
  <c r="I17" i="1" s="1"/>
  <c r="H5" i="1"/>
  <c r="I5" i="1" s="1"/>
  <c r="H139" i="1"/>
  <c r="I139" i="1" s="1"/>
  <c r="H94" i="1"/>
  <c r="I94" i="1" s="1"/>
  <c r="H70" i="1"/>
  <c r="I70" i="1" s="1"/>
  <c r="P16" i="1"/>
  <c r="R16" i="1" s="1"/>
  <c r="H28" i="1"/>
  <c r="I28" i="1" s="1"/>
  <c r="H16" i="1"/>
  <c r="I16" i="1" s="1"/>
  <c r="H8" i="1"/>
  <c r="I8" i="1" s="1"/>
  <c r="H142" i="1"/>
  <c r="I142" i="1" s="1"/>
  <c r="H138" i="1"/>
  <c r="I138" i="1" s="1"/>
  <c r="H126" i="1"/>
  <c r="I126" i="1" s="1"/>
  <c r="H117" i="1"/>
  <c r="I117" i="1" s="1"/>
  <c r="H111" i="1"/>
  <c r="I111" i="1" s="1"/>
  <c r="H106" i="1"/>
  <c r="I106" i="1" s="1"/>
  <c r="H102" i="1"/>
  <c r="I102" i="1" s="1"/>
  <c r="H75" i="1"/>
  <c r="I75" i="1" s="1"/>
  <c r="H63" i="1"/>
  <c r="I63" i="1" s="1"/>
  <c r="H59" i="1"/>
  <c r="I59" i="1" s="1"/>
  <c r="H50" i="1"/>
  <c r="I50" i="1" s="1"/>
  <c r="H29" i="1"/>
  <c r="I29" i="1" s="1"/>
  <c r="H127" i="1"/>
  <c r="I127" i="1" s="1"/>
  <c r="H107" i="1"/>
  <c r="I107" i="1" s="1"/>
  <c r="H67" i="1"/>
  <c r="I67" i="1" s="1"/>
  <c r="H55" i="1"/>
  <c r="I55" i="1" s="1"/>
  <c r="H47" i="1"/>
  <c r="I47" i="1" s="1"/>
  <c r="H43" i="1"/>
  <c r="I43" i="1" s="1"/>
  <c r="H145" i="1"/>
  <c r="I145" i="1" s="1"/>
  <c r="H24" i="1"/>
  <c r="I24" i="1" s="1"/>
  <c r="H20" i="1"/>
  <c r="I20" i="1" s="1"/>
  <c r="H134" i="1"/>
  <c r="I134" i="1" s="1"/>
  <c r="H82" i="1"/>
  <c r="I82" i="1" s="1"/>
  <c r="H78" i="1"/>
  <c r="I78" i="1" s="1"/>
  <c r="H74" i="1"/>
  <c r="I74" i="1" s="1"/>
  <c r="H42" i="1"/>
  <c r="I42" i="1" s="1"/>
  <c r="C27" i="7"/>
  <c r="H39" i="1"/>
  <c r="I39" i="1" s="1"/>
  <c r="H31" i="1"/>
  <c r="I31" i="1" s="1"/>
  <c r="H27" i="1"/>
  <c r="I27" i="1" s="1"/>
  <c r="H23" i="1"/>
  <c r="I23" i="1" s="1"/>
  <c r="H19" i="1"/>
  <c r="I19" i="1" s="1"/>
  <c r="H15" i="1"/>
  <c r="I15" i="1" s="1"/>
  <c r="H11" i="1"/>
  <c r="I11" i="1" s="1"/>
  <c r="L21" i="1"/>
  <c r="L24" i="1" s="1"/>
  <c r="H133" i="1"/>
  <c r="I133" i="1" s="1"/>
  <c r="H113" i="1"/>
  <c r="I113" i="1" s="1"/>
  <c r="H101" i="1"/>
  <c r="I101" i="1" s="1"/>
  <c r="H77" i="1"/>
  <c r="I77" i="1" s="1"/>
  <c r="H57" i="1"/>
  <c r="I57" i="1" s="1"/>
  <c r="H49" i="1"/>
  <c r="I49" i="1" s="1"/>
  <c r="H45" i="1"/>
  <c r="I45" i="1" s="1"/>
  <c r="H147" i="1"/>
  <c r="I147" i="1" s="1"/>
  <c r="P7" i="1"/>
  <c r="R7" i="1" s="1"/>
  <c r="C26" i="7"/>
  <c r="H38" i="1"/>
  <c r="I38" i="1" s="1"/>
  <c r="H34" i="1"/>
  <c r="I34" i="1" s="1"/>
  <c r="H26" i="1"/>
  <c r="I26" i="1" s="1"/>
  <c r="H22" i="1"/>
  <c r="I22" i="1" s="1"/>
  <c r="H14" i="1"/>
  <c r="I14" i="1" s="1"/>
  <c r="H10" i="1"/>
  <c r="I10" i="1" s="1"/>
  <c r="H136" i="1"/>
  <c r="I136" i="1" s="1"/>
  <c r="H124" i="1"/>
  <c r="I124" i="1" s="1"/>
  <c r="H116" i="1"/>
  <c r="I116" i="1" s="1"/>
  <c r="H92" i="1"/>
  <c r="I92" i="1" s="1"/>
  <c r="H72" i="1"/>
  <c r="I72" i="1" s="1"/>
  <c r="H52" i="1"/>
  <c r="I52" i="1" s="1"/>
  <c r="P14" i="1"/>
  <c r="R14" i="1" s="1"/>
  <c r="P15" i="1"/>
  <c r="R15" i="1" s="1"/>
  <c r="P5" i="1"/>
  <c r="H18" i="1" l="1"/>
  <c r="I18" i="1" s="1"/>
  <c r="P8" i="1"/>
  <c r="R8" i="1" s="1"/>
  <c r="H36" i="1"/>
  <c r="I36" i="1" s="1"/>
  <c r="H30" i="1"/>
  <c r="I30" i="1" s="1"/>
  <c r="P10" i="1"/>
  <c r="R10" i="1" s="1"/>
  <c r="M21" i="1"/>
  <c r="Q23" i="1"/>
  <c r="Q24" i="1" s="1"/>
  <c r="R5" i="1"/>
  <c r="C18" i="7" l="1"/>
  <c r="M46" i="1"/>
  <c r="M45" i="1"/>
  <c r="P18" i="1"/>
  <c r="R18" i="1"/>
  <c r="C19" i="7"/>
  <c r="C17" i="7"/>
  <c r="C20" i="7" l="1"/>
  <c r="M47" i="1"/>
  <c r="O10" i="1"/>
  <c r="O6" i="1"/>
  <c r="O7" i="1"/>
  <c r="O14" i="1"/>
  <c r="O15" i="1"/>
  <c r="O11" i="1"/>
  <c r="O13" i="1"/>
  <c r="O17" i="1"/>
  <c r="O16" i="1"/>
  <c r="O12" i="1"/>
  <c r="O8" i="1"/>
  <c r="O9" i="1"/>
  <c r="N18" i="1"/>
  <c r="O5" i="1"/>
  <c r="O18" i="1"/>
</calcChain>
</file>

<file path=xl/sharedStrings.xml><?xml version="1.0" encoding="utf-8"?>
<sst xmlns="http://schemas.openxmlformats.org/spreadsheetml/2006/main" count="592" uniqueCount="282">
  <si>
    <t>Country</t>
  </si>
  <si>
    <t>Aalborg Portsland A/S</t>
  </si>
  <si>
    <t>Alcoa aluminium</t>
  </si>
  <si>
    <t>BillerudKorsnäs Karlsborgs AB</t>
  </si>
  <si>
    <t>Bodens värmeverk, BEAB</t>
  </si>
  <si>
    <t>Bomhus Energi</t>
  </si>
  <si>
    <t>Bravikens Pappersbruk</t>
  </si>
  <si>
    <t>Dåva kraftvärmeverk</t>
  </si>
  <si>
    <t>Domsjö Fabriker AB</t>
  </si>
  <si>
    <t>Elkem asa avd bjølvefossen</t>
  </si>
  <si>
    <t>Elkem bremanger</t>
  </si>
  <si>
    <t>Elkem rana as</t>
  </si>
  <si>
    <t>Elkem salten</t>
  </si>
  <si>
    <t>Elkem thamshavn</t>
  </si>
  <si>
    <t>Elverum fjernvarme as</t>
  </si>
  <si>
    <t>Energy A/S - Esbjergværket</t>
  </si>
  <si>
    <t>ENERGY POWER A/S</t>
  </si>
  <si>
    <t>ENERGY POWER A/S - Skærbækværket</t>
  </si>
  <si>
    <t>ENERGY POWER A/S, Avedøreværket</t>
  </si>
  <si>
    <t>ENERGY POWER A/S, H.C. Ørstedværket</t>
  </si>
  <si>
    <t>ENERGY POWER A/S, Studstrupværket</t>
  </si>
  <si>
    <t>Eramet norway as, porsgrunn</t>
  </si>
  <si>
    <t>Eramet norway as, sauda</t>
  </si>
  <si>
    <t>Eramet norway kvinesdal</t>
  </si>
  <si>
    <t>Esso norge, slagentangen</t>
  </si>
  <si>
    <t>Ferroglobe mangan norge as</t>
  </si>
  <si>
    <t>Finnfjord</t>
  </si>
  <si>
    <t>FJERNVARME FYN AFFALDSENERGI A/S</t>
  </si>
  <si>
    <t>FJERNVARME FYN PRODUKTION A/S</t>
  </si>
  <si>
    <t>Fortum oslo varme as</t>
  </si>
  <si>
    <t>Hammerfest LNG</t>
  </si>
  <si>
    <t>Händelöverket</t>
  </si>
  <si>
    <t>HÄSSELBYVERKET</t>
  </si>
  <si>
    <t>Hedensbyns kraftvärmeverk</t>
  </si>
  <si>
    <t>HOFOR ENERGIPRODUKTION A/S</t>
  </si>
  <si>
    <t>HÖGDALENVERKET</t>
  </si>
  <si>
    <t>Hydro aluminium, årdal metallverk</t>
  </si>
  <si>
    <t>Hydro aluminium, høyanger</t>
  </si>
  <si>
    <t>Hydro aluminium, karmøy</t>
  </si>
  <si>
    <t>Hydro aluminium, sunndal</t>
  </si>
  <si>
    <t>I/S Amager Ressourcecenter</t>
  </si>
  <si>
    <t>I/S RENO-NORD</t>
  </si>
  <si>
    <t>I/S VESTFORBRÆNDING</t>
  </si>
  <si>
    <t>Igelsta kraftvärmeverk</t>
  </si>
  <si>
    <t>Iggesunds Bruk</t>
  </si>
  <si>
    <t>JORDBRO KRAFTVÄRMEVERK</t>
  </si>
  <si>
    <t>Kårstø</t>
  </si>
  <si>
    <t>Korsnäsverken</t>
  </si>
  <si>
    <t>Kraftvärmeverket Övik Energi A</t>
  </si>
  <si>
    <t>Kubikenborg Aluminium AB</t>
  </si>
  <si>
    <t>Luleå kraftvärmeverk LUKAB</t>
  </si>
  <si>
    <t>Metanolfabrikk Tjeldbergodden</t>
  </si>
  <si>
    <t>Metsä Board Sverige AB, Husums fabr</t>
  </si>
  <si>
    <t>Mondi Dynäs AB</t>
  </si>
  <si>
    <t>Mongstad</t>
  </si>
  <si>
    <t>Norcem kjøpsvik</t>
  </si>
  <si>
    <t>NORDGROUP A/S</t>
  </si>
  <si>
    <t>Noretyl as</t>
  </si>
  <si>
    <t>Norfrakalk</t>
  </si>
  <si>
    <t>NYNAS AB, Oljeraffinaderiet i Nynäshamn</t>
  </si>
  <si>
    <t>Rönnskärsverken</t>
  </si>
  <si>
    <t>SCA Munksund</t>
  </si>
  <si>
    <t>SCA Obbola AB</t>
  </si>
  <si>
    <t>SCA Ortviken</t>
  </si>
  <si>
    <t>SCA Östrands massafabrik</t>
  </si>
  <si>
    <t>SILKEBORG VARME A/S</t>
  </si>
  <si>
    <t>Skutskärs Bruk</t>
  </si>
  <si>
    <t>Smurfit Kappa Kraftliner Piteå</t>
  </si>
  <si>
    <t>Sør-norge aluminium</t>
  </si>
  <si>
    <t>SSAB EMEA AB i Luleå</t>
  </si>
  <si>
    <t>SSAB Oxelösund AB</t>
  </si>
  <si>
    <t>STATOIL REFINING DENMARK A/S</t>
  </si>
  <si>
    <t>Sundsvall Energi AB, Korstaverk</t>
  </si>
  <si>
    <t>Tizir titanium &amp; iron as</t>
  </si>
  <si>
    <t>Vallviks Bruk</t>
  </si>
  <si>
    <t>VÄRTAVERKET</t>
  </si>
  <si>
    <t>Wacker chemicals norway</t>
  </si>
  <si>
    <t>Site</t>
  </si>
  <si>
    <t>Industry</t>
  </si>
  <si>
    <t>Emission (tonne)</t>
  </si>
  <si>
    <t>Reference year</t>
  </si>
  <si>
    <t>Content (% vol)</t>
  </si>
  <si>
    <t>COCA</t>
  </si>
  <si>
    <t>Refineries</t>
  </si>
  <si>
    <t>Norway</t>
  </si>
  <si>
    <t>Waste combustion</t>
  </si>
  <si>
    <t>Sweden</t>
  </si>
  <si>
    <t>% vol CO2</t>
  </si>
  <si>
    <t>NOK/t CO2 avoided</t>
  </si>
  <si>
    <t>Total emission</t>
  </si>
  <si>
    <t>Fraction of total</t>
  </si>
  <si>
    <t>Estimated capture rate</t>
  </si>
  <si>
    <t>Cement production</t>
  </si>
  <si>
    <t>Denmark</t>
  </si>
  <si>
    <t>Natural Gas to power</t>
  </si>
  <si>
    <t>Södra Cell Mönsterås</t>
  </si>
  <si>
    <t>Paper production</t>
  </si>
  <si>
    <t>Iron and steel production</t>
  </si>
  <si>
    <t>Cementa AB, Slitefabriken</t>
  </si>
  <si>
    <t>Södra Cell Värö</t>
  </si>
  <si>
    <t>Coal to power</t>
  </si>
  <si>
    <t>Preemraff, Lysekil</t>
  </si>
  <si>
    <t>Ammonia production</t>
  </si>
  <si>
    <t>Aluminum production</t>
  </si>
  <si>
    <t>Ethylene production</t>
  </si>
  <si>
    <t>Chemical production</t>
  </si>
  <si>
    <t>Biofuel</t>
  </si>
  <si>
    <t>Distinctions</t>
  </si>
  <si>
    <t>Gruvöns bruk</t>
  </si>
  <si>
    <t>Södra Cell Mörrum</t>
  </si>
  <si>
    <t>No numbers found - average across industries used</t>
  </si>
  <si>
    <t>BillerudKorsnäs Sweden AB Skärblacka Bruk</t>
  </si>
  <si>
    <t>COCA = Cost of Capturing All</t>
  </si>
  <si>
    <t>Skoghalls Bruk</t>
  </si>
  <si>
    <t>STORA ENSO PAPER AB</t>
  </si>
  <si>
    <t>Västerås kraftvärmeverk</t>
  </si>
  <si>
    <t>Source: Henriette Aims</t>
  </si>
  <si>
    <t>USD 2019</t>
  </si>
  <si>
    <t>Exchange rate (2014 EUR to 2019 USD )</t>
  </si>
  <si>
    <t>NOK 2019</t>
  </si>
  <si>
    <t>USD to NOK 2019 exchange rate</t>
  </si>
  <si>
    <t>BillerudKorsnäs Skog &amp; Industri AB, Frövi</t>
  </si>
  <si>
    <t>Natural gas to power</t>
  </si>
  <si>
    <t>Aluminum</t>
  </si>
  <si>
    <t>Borealis Krackeranl.</t>
  </si>
  <si>
    <t>Gärstadverket</t>
  </si>
  <si>
    <t>Bäckhammars Bruk</t>
  </si>
  <si>
    <t>Sävenäs</t>
  </si>
  <si>
    <t>Yara Porsgrunn, total</t>
  </si>
  <si>
    <t>Yara Porsgrunn, source 1</t>
  </si>
  <si>
    <t>St1 Refinery AB</t>
  </si>
  <si>
    <t>Yara Porsgrunn, source 2</t>
  </si>
  <si>
    <t>Sysavs avfallsförbränningsanläggning</t>
  </si>
  <si>
    <t>Yara Porsgrunn, source 3</t>
  </si>
  <si>
    <t>*</t>
  </si>
  <si>
    <t>LKAB - Kirunagruvan</t>
  </si>
  <si>
    <t>Mining operations</t>
  </si>
  <si>
    <t>Preem  AB Preemraff Göteborg</t>
  </si>
  <si>
    <t>Ahlstrom-Munksjö Aspa Bruk AB</t>
  </si>
  <si>
    <t>Cementa AB Skövdefabriken</t>
  </si>
  <si>
    <t>BRISTAVERKET</t>
  </si>
  <si>
    <t>E.ON Värme Sverige AB, Åbyverket</t>
  </si>
  <si>
    <t>Boländeranläggningarna, Avfallsförbränningsanläggn</t>
  </si>
  <si>
    <t>Kraftvärmeverket Torsvik, KVVT1 (avfall) och KVVT2 (flis)</t>
  </si>
  <si>
    <t>Värmeverket Vattumannen</t>
  </si>
  <si>
    <t>Sandviksverket</t>
  </si>
  <si>
    <t>Igelsta värmeverk</t>
  </si>
  <si>
    <t>Ryaverket</t>
  </si>
  <si>
    <t>Sewage Treatment Plant</t>
  </si>
  <si>
    <t>Hedenverket</t>
  </si>
  <si>
    <t>Production of materials</t>
  </si>
  <si>
    <t>Lugnviksverket</t>
  </si>
  <si>
    <t>CEMENTA, Degerhamn</t>
  </si>
  <si>
    <t>Boländeranläggningarna, Kraftvärmeverket o Bolandv</t>
  </si>
  <si>
    <t>Stora Enso Paper AB, Kvarnsveden Mill</t>
  </si>
  <si>
    <t>SSAB EMEA AB</t>
  </si>
  <si>
    <t>STORA ENSO FORS AB</t>
  </si>
  <si>
    <t>Nordkalk / Köping</t>
  </si>
  <si>
    <t>Lidköpings Värmeverk, Filen</t>
  </si>
  <si>
    <t>Stora Enso Paper AB</t>
  </si>
  <si>
    <t>Filborna Kraftvärmeverk</t>
  </si>
  <si>
    <t>Riskullaverket</t>
  </si>
  <si>
    <t>Höganäs Sweden AB</t>
  </si>
  <si>
    <t>Kristinehedsverket</t>
  </si>
  <si>
    <t>Munksjö Paper AB Billingsfors</t>
  </si>
  <si>
    <t>Lantmännen Agroetanol AB</t>
  </si>
  <si>
    <t>Allöverket</t>
  </si>
  <si>
    <t>Idbäckens Kraftvärmeverk</t>
  </si>
  <si>
    <t>Lime production</t>
  </si>
  <si>
    <t>Vargön Alloys AB</t>
  </si>
  <si>
    <t>Fortum Waste Solutions AB, Norrtorp</t>
  </si>
  <si>
    <t>Sävenäs Kraftvärmeverk</t>
  </si>
  <si>
    <t>Heleneholmsverket, (HVK)</t>
  </si>
  <si>
    <t>LKAB - Malmbergsgruvan</t>
  </si>
  <si>
    <t>Kalkproduktion Storugns AB</t>
  </si>
  <si>
    <t>Outokumpu Stainless AB, Avesta</t>
  </si>
  <si>
    <t>Perstorp Oxo AB, Stenungsund</t>
  </si>
  <si>
    <t>Västermalmsverket / Falu Energi &amp; Vatten AB</t>
  </si>
  <si>
    <t>Ångcentralen</t>
  </si>
  <si>
    <t>HPC Simpan och Ena Kraft, kraftvärmeverket</t>
  </si>
  <si>
    <t>Kraftvärmeverket i Linköping</t>
  </si>
  <si>
    <t>Fiskeby bruk</t>
  </si>
  <si>
    <t>Lillesjö Avfallskraftvärmeverk</t>
  </si>
  <si>
    <t>Västhamnsverket, (VHV)</t>
  </si>
  <si>
    <t>LKAB - Svappavaaragruvan Leveäniemi</t>
  </si>
  <si>
    <t>Rya Gaskraftvärmeverk</t>
  </si>
  <si>
    <t>Björksätra Kraftvärmeverk</t>
  </si>
  <si>
    <t>At 100% capture rate</t>
  </si>
  <si>
    <t>Emissions</t>
  </si>
  <si>
    <t>Capturable</t>
  </si>
  <si>
    <t>Capture rate</t>
  </si>
  <si>
    <t>Cost of capture</t>
  </si>
  <si>
    <t>Cement cost</t>
  </si>
  <si>
    <t>Iron and steel cost</t>
  </si>
  <si>
    <t>Ammonia cost</t>
  </si>
  <si>
    <t>Total</t>
  </si>
  <si>
    <t>CO2%</t>
  </si>
  <si>
    <t>Source</t>
  </si>
  <si>
    <t>Cement</t>
  </si>
  <si>
    <t>Ammonia</t>
  </si>
  <si>
    <t>Currency exchange rates</t>
  </si>
  <si>
    <t xml:space="preserve">Kuramochi et al (2011) </t>
  </si>
  <si>
    <t>USEIA(2014) AssumptionstotheAnnualEnergy Outlook2014,Independent StatisticsandAnalysis.</t>
  </si>
  <si>
    <t>EUR to USD (15.03.2019)</t>
  </si>
  <si>
    <t>EUR 2005 to USD 2019</t>
  </si>
  <si>
    <t>Global CCS Institute - Global costs of carbon capture and storage 2017 update (Germany)</t>
  </si>
  <si>
    <t>Global CCS Institute - Global costs of carbon capture and storage 2017 update (Poland)</t>
  </si>
  <si>
    <t>EUR 2014 to USD 2018</t>
  </si>
  <si>
    <t>Morgan Summers - Cost of Capturing CO2 from Industrial Sources (2013)</t>
  </si>
  <si>
    <t>Morgan Summers - Cost of Capturing CO2 from Industrial Sources (2013)- Retrofit</t>
  </si>
  <si>
    <t>Morgan Summers - Cost of Capturing CO2 from Industrial Sources (2013) - Retrofit</t>
  </si>
  <si>
    <t>USD to NOK</t>
  </si>
  <si>
    <t>SINTEF Rapport 2018:00450, p.28</t>
  </si>
  <si>
    <t>McKinsey &amp; Company - New Plant</t>
  </si>
  <si>
    <t xml:space="preserve">McKinsey &amp; Company </t>
  </si>
  <si>
    <t>McKinsey &amp; Company - Retrofit</t>
  </si>
  <si>
    <t>IEA "Roadmap" BF 2030</t>
  </si>
  <si>
    <t>IEA "Roadmap" Post Combustion 2030</t>
  </si>
  <si>
    <t xml:space="preserve">IEA "Roadmap" </t>
  </si>
  <si>
    <t xml:space="preserve">Faria et al. </t>
  </si>
  <si>
    <t>Faria et al.</t>
  </si>
  <si>
    <t>Ho et al. BF</t>
  </si>
  <si>
    <t>Ho et al. MEA COREX</t>
  </si>
  <si>
    <t>Ho et al. WGS MEA</t>
  </si>
  <si>
    <t>Average</t>
  </si>
  <si>
    <t>NOK</t>
  </si>
  <si>
    <t>Coal</t>
  </si>
  <si>
    <t>Oil</t>
  </si>
  <si>
    <t>Gas</t>
  </si>
  <si>
    <t>Reductions (40%)</t>
  </si>
  <si>
    <t>Flaring</t>
  </si>
  <si>
    <t>Remaining emissions</t>
  </si>
  <si>
    <t>Reductions</t>
  </si>
  <si>
    <t>CCS</t>
  </si>
  <si>
    <t>Transportation</t>
  </si>
  <si>
    <t>Paper and pulp</t>
  </si>
  <si>
    <t>Others</t>
  </si>
  <si>
    <t>Iron and Steel</t>
  </si>
  <si>
    <t>Emissions (total)</t>
  </si>
  <si>
    <t>Focus facilities</t>
  </si>
  <si>
    <t>Potential CCS cuts (focus facilites)</t>
  </si>
  <si>
    <t>Emissions (all industries eksl. O&amp;G)</t>
  </si>
  <si>
    <t>Potential CCS cuts/total emissions</t>
  </si>
  <si>
    <t>Potential CCS cuts/facilities&gt;100,000 eksl. O&amp;G</t>
  </si>
  <si>
    <t>Capture</t>
  </si>
  <si>
    <t>Transportation and storage</t>
  </si>
  <si>
    <t>Activity</t>
  </si>
  <si>
    <t>Costs for focus facilities</t>
  </si>
  <si>
    <t>USD 2013 - 2019</t>
  </si>
  <si>
    <t>USD 2008 - 2018</t>
  </si>
  <si>
    <t>USD 1990 - 2018</t>
  </si>
  <si>
    <t>USD 2017 - 2018</t>
  </si>
  <si>
    <t>USD 2014 - 2018</t>
  </si>
  <si>
    <t>Cost of CO2 avoided in iron and steel, cement and ammonia industry</t>
  </si>
  <si>
    <t>Greenhouse gas emissions and reductions</t>
  </si>
  <si>
    <t>Sectors</t>
  </si>
  <si>
    <t xml:space="preserve">Cement </t>
  </si>
  <si>
    <t>Fraction %</t>
  </si>
  <si>
    <t>Emissions (MtCO2)</t>
  </si>
  <si>
    <t>https://www.globalcarbonproject.org/carbonbudget/18/highlights.htm</t>
  </si>
  <si>
    <t>GHG reductions required by 2030</t>
  </si>
  <si>
    <t>CCS cycle costs</t>
  </si>
  <si>
    <t>Storage</t>
  </si>
  <si>
    <t>Total costs</t>
  </si>
  <si>
    <t>CCS status</t>
  </si>
  <si>
    <t>Current CCS</t>
  </si>
  <si>
    <t>Needed CCS to reach PA</t>
  </si>
  <si>
    <t>Different industries</t>
  </si>
  <si>
    <t xml:space="preserve">Emissions </t>
  </si>
  <si>
    <t>Cost of capturable CO2</t>
  </si>
  <si>
    <t>Cost in total</t>
  </si>
  <si>
    <t>Cost of CO2 avoided [NOK/t]</t>
  </si>
  <si>
    <t>Cost fraction</t>
  </si>
  <si>
    <t>cut</t>
  </si>
  <si>
    <t>ccs</t>
  </si>
  <si>
    <t xml:space="preserve">Total </t>
  </si>
  <si>
    <t>Norcem Brevik, total</t>
  </si>
  <si>
    <t>Norcem Brevik, source 1</t>
  </si>
  <si>
    <t>Norcem Brevik, source 2</t>
  </si>
  <si>
    <r>
      <t xml:space="preserve">Source: Wilcox, J. (2012) </t>
    </r>
    <r>
      <rPr>
        <i/>
        <sz val="12"/>
        <color theme="1"/>
        <rFont val="Calibri"/>
        <family val="2"/>
        <scheme val="minor"/>
      </rPr>
      <t>Carbon Capture.</t>
    </r>
    <r>
      <rPr>
        <sz val="12"/>
        <color theme="1"/>
        <rFont val="Calibri"/>
        <family val="2"/>
        <scheme val="minor"/>
      </rPr>
      <t xml:space="preserve"> New York: Springer</t>
    </r>
  </si>
  <si>
    <r>
      <t xml:space="preserve">Source: IEA ETSAP. (2010). </t>
    </r>
    <r>
      <rPr>
        <i/>
        <sz val="12"/>
        <color theme="1"/>
        <rFont val="Calibri"/>
        <family val="2"/>
        <scheme val="minor"/>
      </rPr>
      <t>CO2 Capture and Storage.</t>
    </r>
    <r>
      <rPr>
        <sz val="12"/>
        <color theme="1"/>
        <rFont val="Calibri"/>
        <family val="2"/>
        <scheme val="minor"/>
      </rPr>
      <t xml:space="preserve"> IEA.</t>
    </r>
  </si>
  <si>
    <t>Average number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</si>
</sst>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NOK]\ * #,##0.00_);_([$NOK]\ * \(#,##0.00\);_([$NOK]\ * &quot;-&quot;??_);_(@_)"/>
    <numFmt numFmtId="166" formatCode="_([$NOK]\ * #,##0_);_([$NOK]\ * \(#,##0\);_([$NOK]\ * &quot;-&quot;??_);_(@_)"/>
    <numFmt numFmtId="167" formatCode="_([$NOK]\ * #,##0_);_([$NOK]\ * \(#,##0\);_([$NOK]\ * &quot;-&quot;_);_(@_)"/>
    <numFmt numFmtId="168" formatCode="_-[$$-409]* #,##0.00_ ;_-[$$-409]* \-#,##0.00\ ;_-[$$-409]* &quot;-&quot;??_ ;_-@_ "/>
    <numFmt numFmtId="169" formatCode="_-[$kr-414]\ * #,##0.00_-;\-[$kr-414]\ * #,##0.00_-;_-[$kr-414]\ * &quot;-&quot;??_-;_-@_-"/>
    <numFmt numFmtId="170" formatCode="_-[$$-409]* #,##0_ ;_-[$$-409]* \-#,##0\ ;_-[$$-409]* &quot;-&quot;??_ ;_-@_ "/>
    <numFmt numFmtId="171" formatCode="0.0"/>
    <numFmt numFmtId="172" formatCode="_-* #,##0_-;\-* #,##0_-;_-* &quot;-&quot;??_-;_-@_-"/>
    <numFmt numFmtId="173" formatCode="_-[$NOK]\ * #,##0.00_-;\-[$NOK]\ * #,##0.00_-;_-[$NOK]\ * &quot;-&quot;??_-;_-@_-"/>
    <numFmt numFmtId="174" formatCode="0.0\ %"/>
    <numFmt numFmtId="175" formatCode="_(* #,##0_);_(* \(#,##0\);_(* &quot;-&quot;??_);_(@_)"/>
    <numFmt numFmtId="176" formatCode="_-[$NOK]\ * #,##0_-;\-[$NOK]\ * #,##0_-;_-[$NOK]\ * &quot;-&quot;??_-;_-@_-"/>
    <numFmt numFmtId="177" formatCode="_-[$kr-414]\ * #,##0_-;\-[$kr-414]\ * #,##0_-;_-[$kr-414]\ * &quot;-&quot;??_-;_-@_-"/>
    <numFmt numFmtId="178" formatCode="_ [$kr-414]\ * #,##0.00_ ;_ [$kr-414]\ * \-#,##0.00_ ;_ [$kr-414]\ * &quot;-&quot;??_ ;_ @_ "/>
    <numFmt numFmtId="179" formatCode="_ [$kr-414]\ * #,##0_ ;_ [$kr-414]\ * \-#,##0_ ;_ [$kr-414]\ * &quot;-&quot;??_ ;_ @_ "/>
    <numFmt numFmtId="180" formatCode="_([$$-409]* #,##0.00_);_([$$-409]* \(#,##0.00\);_([$$-409]* &quot;-&quot;??_);_(@_)"/>
    <numFmt numFmtId="181" formatCode="_([$$-409]* #,##0_);_([$$-409]* \(#,##0\);_([$$-409]* &quot;-&quot;??_);_(@_)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 (Body)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0539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DEBF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DEBF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5ED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1" applyFont="1" applyAlignment="1">
      <alignment horizontal="center"/>
    </xf>
    <xf numFmtId="0" fontId="0" fillId="3" borderId="0" xfId="0" applyFill="1"/>
    <xf numFmtId="0" fontId="2" fillId="0" borderId="0" xfId="2"/>
    <xf numFmtId="1" fontId="2" fillId="0" borderId="0" xfId="2" applyNumberFormat="1"/>
    <xf numFmtId="168" fontId="2" fillId="0" borderId="0" xfId="2" applyNumberFormat="1"/>
    <xf numFmtId="0" fontId="5" fillId="0" borderId="0" xfId="2" applyFont="1"/>
    <xf numFmtId="0" fontId="2" fillId="0" borderId="0" xfId="2" applyAlignment="1">
      <alignment wrapText="1"/>
    </xf>
    <xf numFmtId="1" fontId="5" fillId="0" borderId="0" xfId="2" applyNumberFormat="1" applyFont="1"/>
    <xf numFmtId="1" fontId="0" fillId="0" borderId="0" xfId="0" applyNumberFormat="1" applyAlignment="1">
      <alignment horizontal="center"/>
    </xf>
    <xf numFmtId="43" fontId="0" fillId="0" borderId="0" xfId="5" applyNumberFormat="1" applyFont="1" applyAlignment="1">
      <alignment horizontal="center"/>
    </xf>
    <xf numFmtId="43" fontId="0" fillId="0" borderId="0" xfId="5" applyNumberFormat="1" applyFont="1"/>
    <xf numFmtId="172" fontId="0" fillId="0" borderId="0" xfId="0" applyNumberFormat="1"/>
    <xf numFmtId="169" fontId="0" fillId="0" borderId="0" xfId="0" applyNumberFormat="1"/>
    <xf numFmtId="174" fontId="0" fillId="0" borderId="0" xfId="1" applyNumberFormat="1" applyFont="1" applyAlignment="1">
      <alignment horizontal="center"/>
    </xf>
    <xf numFmtId="0" fontId="1" fillId="0" borderId="0" xfId="6"/>
    <xf numFmtId="171" fontId="1" fillId="0" borderId="0" xfId="6" applyNumberFormat="1"/>
    <xf numFmtId="2" fontId="1" fillId="0" borderId="0" xfId="6" applyNumberFormat="1"/>
    <xf numFmtId="0" fontId="1" fillId="0" borderId="0" xfId="6" applyFont="1"/>
    <xf numFmtId="0" fontId="5" fillId="0" borderId="0" xfId="6" applyFont="1"/>
    <xf numFmtId="0" fontId="4" fillId="0" borderId="0" xfId="0" applyFont="1"/>
    <xf numFmtId="175" fontId="0" fillId="0" borderId="0" xfId="5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5" applyNumberFormat="1" applyFont="1" applyAlignment="1">
      <alignment horizontal="center"/>
    </xf>
    <xf numFmtId="175" fontId="1" fillId="0" borderId="0" xfId="6" applyNumberFormat="1"/>
    <xf numFmtId="0" fontId="9" fillId="5" borderId="1" xfId="0" applyFont="1" applyFill="1" applyBorder="1"/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9" fontId="9" fillId="5" borderId="1" xfId="1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0" fontId="0" fillId="6" borderId="1" xfId="0" applyFont="1" applyFill="1" applyBorder="1" applyAlignment="1">
      <alignment horizontal="left"/>
    </xf>
    <xf numFmtId="1" fontId="0" fillId="6" borderId="1" xfId="0" applyNumberFormat="1" applyFill="1" applyBorder="1" applyAlignment="1">
      <alignment horizontal="center"/>
    </xf>
    <xf numFmtId="9" fontId="0" fillId="6" borderId="1" xfId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3" fontId="0" fillId="6" borderId="1" xfId="5" applyNumberFormat="1" applyFont="1" applyFill="1" applyBorder="1" applyAlignment="1">
      <alignment horizontal="center" vertical="center"/>
    </xf>
    <xf numFmtId="3" fontId="0" fillId="6" borderId="1" xfId="5" applyNumberFormat="1" applyFont="1" applyFill="1" applyBorder="1" applyAlignment="1">
      <alignment horizontal="center"/>
    </xf>
    <xf numFmtId="3" fontId="6" fillId="6" borderId="0" xfId="5" applyNumberFormat="1" applyFont="1" applyFill="1" applyAlignment="1">
      <alignment horizontal="center"/>
    </xf>
    <xf numFmtId="0" fontId="8" fillId="7" borderId="1" xfId="0" applyFont="1" applyFill="1" applyBorder="1"/>
    <xf numFmtId="9" fontId="0" fillId="7" borderId="1" xfId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3" fontId="8" fillId="7" borderId="1" xfId="5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9" fontId="8" fillId="7" borderId="1" xfId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 horizontal="center"/>
    </xf>
    <xf numFmtId="3" fontId="8" fillId="7" borderId="1" xfId="5" applyNumberFormat="1" applyFont="1" applyFill="1" applyBorder="1" applyAlignment="1">
      <alignment horizontal="center" vertical="center"/>
    </xf>
    <xf numFmtId="0" fontId="0" fillId="9" borderId="0" xfId="0" applyFill="1"/>
    <xf numFmtId="0" fontId="7" fillId="8" borderId="1" xfId="0" applyFont="1" applyFill="1" applyBorder="1"/>
    <xf numFmtId="0" fontId="7" fillId="8" borderId="1" xfId="0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3" fontId="0" fillId="11" borderId="1" xfId="0" applyNumberFormat="1" applyFill="1" applyBorder="1" applyAlignment="1">
      <alignment horizontal="center"/>
    </xf>
    <xf numFmtId="9" fontId="0" fillId="11" borderId="1" xfId="1" applyFont="1" applyFill="1" applyBorder="1" applyAlignment="1">
      <alignment horizontal="center"/>
    </xf>
    <xf numFmtId="167" fontId="0" fillId="11" borderId="1" xfId="0" applyNumberFormat="1" applyFill="1" applyBorder="1"/>
    <xf numFmtId="165" fontId="0" fillId="11" borderId="1" xfId="0" applyNumberFormat="1" applyFill="1" applyBorder="1"/>
    <xf numFmtId="9" fontId="0" fillId="9" borderId="1" xfId="0" applyNumberFormat="1" applyFill="1" applyBorder="1" applyAlignment="1">
      <alignment horizontal="center"/>
    </xf>
    <xf numFmtId="9" fontId="0" fillId="9" borderId="1" xfId="1" applyFon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0" fontId="0" fillId="12" borderId="0" xfId="0" applyFill="1"/>
    <xf numFmtId="9" fontId="0" fillId="13" borderId="1" xfId="0" applyNumberFormat="1" applyFill="1" applyBorder="1" applyAlignment="1">
      <alignment horizontal="center"/>
    </xf>
    <xf numFmtId="1" fontId="0" fillId="13" borderId="1" xfId="0" applyNumberFormat="1" applyFill="1" applyBorder="1" applyAlignment="1">
      <alignment horizontal="center"/>
    </xf>
    <xf numFmtId="9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9" fontId="4" fillId="14" borderId="1" xfId="0" applyNumberFormat="1" applyFont="1" applyFill="1" applyBorder="1" applyAlignment="1">
      <alignment horizontal="center"/>
    </xf>
    <xf numFmtId="167" fontId="4" fillId="14" borderId="1" xfId="0" applyNumberFormat="1" applyFont="1" applyFill="1" applyBorder="1"/>
    <xf numFmtId="0" fontId="4" fillId="14" borderId="1" xfId="0" applyFont="1" applyFill="1" applyBorder="1"/>
    <xf numFmtId="3" fontId="4" fillId="14" borderId="1" xfId="0" applyNumberFormat="1" applyFont="1" applyFill="1" applyBorder="1" applyAlignment="1">
      <alignment horizontal="center"/>
    </xf>
    <xf numFmtId="0" fontId="8" fillId="0" borderId="0" xfId="0" applyFont="1"/>
    <xf numFmtId="9" fontId="8" fillId="0" borderId="0" xfId="1" applyFont="1"/>
    <xf numFmtId="0" fontId="8" fillId="5" borderId="3" xfId="0" applyFont="1" applyFill="1" applyBorder="1"/>
    <xf numFmtId="3" fontId="0" fillId="11" borderId="3" xfId="0" applyNumberFormat="1" applyFill="1" applyBorder="1" applyAlignment="1">
      <alignment horizontal="center"/>
    </xf>
    <xf numFmtId="9" fontId="0" fillId="11" borderId="3" xfId="1" applyFont="1" applyFill="1" applyBorder="1" applyAlignment="1">
      <alignment horizontal="center"/>
    </xf>
    <xf numFmtId="0" fontId="8" fillId="0" borderId="0" xfId="0" applyFont="1" applyFill="1" applyBorder="1"/>
    <xf numFmtId="0" fontId="7" fillId="5" borderId="1" xfId="0" applyFont="1" applyFill="1" applyBorder="1" applyAlignment="1">
      <alignment horizontal="center"/>
    </xf>
    <xf numFmtId="173" fontId="4" fillId="14" borderId="1" xfId="0" applyNumberFormat="1" applyFont="1" applyFill="1" applyBorder="1" applyAlignment="1">
      <alignment horizontal="center"/>
    </xf>
    <xf numFmtId="176" fontId="0" fillId="14" borderId="1" xfId="0" applyNumberFormat="1" applyFill="1" applyBorder="1" applyAlignment="1">
      <alignment horizontal="center"/>
    </xf>
    <xf numFmtId="176" fontId="4" fillId="14" borderId="1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9" fontId="7" fillId="5" borderId="0" xfId="1" applyFont="1" applyFill="1" applyAlignment="1">
      <alignment horizontal="center"/>
    </xf>
    <xf numFmtId="1" fontId="0" fillId="14" borderId="1" xfId="1" applyNumberFormat="1" applyFont="1" applyFill="1" applyBorder="1" applyAlignment="1">
      <alignment horizontal="center"/>
    </xf>
    <xf numFmtId="0" fontId="7" fillId="5" borderId="4" xfId="0" applyFont="1" applyFill="1" applyBorder="1"/>
    <xf numFmtId="0" fontId="8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3" fontId="0" fillId="14" borderId="1" xfId="5" applyNumberFormat="1" applyFont="1" applyFill="1" applyBorder="1" applyAlignment="1">
      <alignment horizontal="center"/>
    </xf>
    <xf numFmtId="3" fontId="4" fillId="14" borderId="1" xfId="5" applyNumberFormat="1" applyFont="1" applyFill="1" applyBorder="1" applyAlignment="1">
      <alignment horizontal="center"/>
    </xf>
    <xf numFmtId="37" fontId="0" fillId="14" borderId="1" xfId="0" applyNumberFormat="1" applyFill="1" applyBorder="1" applyAlignment="1">
      <alignment horizontal="center"/>
    </xf>
    <xf numFmtId="37" fontId="0" fillId="14" borderId="1" xfId="5" applyNumberFormat="1" applyFont="1" applyFill="1" applyBorder="1" applyAlignment="1">
      <alignment horizontal="center"/>
    </xf>
    <xf numFmtId="37" fontId="4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3" fontId="0" fillId="14" borderId="1" xfId="0" applyNumberFormat="1" applyFill="1" applyBorder="1"/>
    <xf numFmtId="9" fontId="0" fillId="14" borderId="1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Fill="1"/>
    <xf numFmtId="177" fontId="0" fillId="14" borderId="1" xfId="0" applyNumberFormat="1" applyFill="1" applyBorder="1"/>
    <xf numFmtId="177" fontId="4" fillId="14" borderId="1" xfId="0" applyNumberFormat="1" applyFont="1" applyFill="1" applyBorder="1"/>
    <xf numFmtId="0" fontId="7" fillId="5" borderId="1" xfId="0" applyFont="1" applyFill="1" applyBorder="1"/>
    <xf numFmtId="179" fontId="0" fillId="14" borderId="1" xfId="0" applyNumberFormat="1" applyFill="1" applyBorder="1"/>
    <xf numFmtId="179" fontId="4" fillId="14" borderId="1" xfId="0" applyNumberFormat="1" applyFont="1" applyFill="1" applyBorder="1"/>
    <xf numFmtId="0" fontId="7" fillId="5" borderId="2" xfId="0" applyFont="1" applyFill="1" applyBorder="1" applyAlignment="1">
      <alignment horizontal="left"/>
    </xf>
    <xf numFmtId="0" fontId="8" fillId="10" borderId="0" xfId="0" applyFont="1" applyFill="1"/>
    <xf numFmtId="0" fontId="1" fillId="0" borderId="0" xfId="2" applyFont="1"/>
    <xf numFmtId="0" fontId="2" fillId="0" borderId="0" xfId="2" applyFill="1" applyBorder="1"/>
    <xf numFmtId="0" fontId="1" fillId="0" borderId="0" xfId="2" applyNumberFormat="1" applyFont="1" applyFill="1" applyBorder="1" applyAlignment="1"/>
    <xf numFmtId="170" fontId="1" fillId="0" borderId="0" xfId="2" applyNumberFormat="1" applyFont="1" applyFill="1" applyBorder="1" applyAlignment="1"/>
    <xf numFmtId="9" fontId="0" fillId="0" borderId="0" xfId="4" applyNumberFormat="1" applyFont="1" applyFill="1" applyBorder="1"/>
    <xf numFmtId="0" fontId="1" fillId="0" borderId="0" xfId="2" applyNumberFormat="1" applyFont="1" applyFill="1" applyBorder="1" applyAlignment="1">
      <alignment wrapText="1"/>
    </xf>
    <xf numFmtId="168" fontId="1" fillId="0" borderId="0" xfId="2" applyNumberFormat="1" applyFont="1" applyFill="1" applyBorder="1" applyAlignment="1"/>
    <xf numFmtId="170" fontId="5" fillId="0" borderId="0" xfId="2" applyNumberFormat="1" applyFont="1" applyFill="1" applyBorder="1" applyAlignment="1"/>
    <xf numFmtId="0" fontId="2" fillId="0" borderId="0" xfId="2" applyAlignment="1">
      <alignment horizontal="left" vertical="center"/>
    </xf>
    <xf numFmtId="0" fontId="11" fillId="0" borderId="0" xfId="2" applyFont="1" applyFill="1" applyBorder="1"/>
    <xf numFmtId="181" fontId="2" fillId="2" borderId="5" xfId="2" applyNumberFormat="1" applyFill="1" applyBorder="1" applyAlignment="1">
      <alignment horizontal="left" vertical="center"/>
    </xf>
    <xf numFmtId="179" fontId="2" fillId="2" borderId="5" xfId="2" applyNumberFormat="1" applyFill="1" applyBorder="1" applyAlignment="1">
      <alignment horizontal="left" vertical="center"/>
    </xf>
    <xf numFmtId="9" fontId="2" fillId="2" borderId="5" xfId="2" applyNumberFormat="1" applyFill="1" applyBorder="1" applyAlignment="1">
      <alignment horizontal="center" vertical="center"/>
    </xf>
    <xf numFmtId="0" fontId="2" fillId="2" borderId="5" xfId="2" applyFill="1" applyBorder="1" applyAlignment="1">
      <alignment horizontal="left" vertical="center"/>
    </xf>
    <xf numFmtId="181" fontId="2" fillId="4" borderId="5" xfId="2" applyNumberFormat="1" applyFill="1" applyBorder="1" applyAlignment="1">
      <alignment horizontal="left" vertical="center"/>
    </xf>
    <xf numFmtId="179" fontId="2" fillId="4" borderId="5" xfId="2" applyNumberFormat="1" applyFill="1" applyBorder="1" applyAlignment="1">
      <alignment horizontal="left" vertical="center"/>
    </xf>
    <xf numFmtId="9" fontId="0" fillId="4" borderId="5" xfId="4" applyNumberFormat="1" applyFont="1" applyFill="1" applyBorder="1" applyAlignment="1">
      <alignment horizontal="center" vertical="center"/>
    </xf>
    <xf numFmtId="0" fontId="1" fillId="4" borderId="5" xfId="2" applyNumberFormat="1" applyFont="1" applyFill="1" applyBorder="1" applyAlignment="1">
      <alignment horizontal="left" vertical="center" wrapText="1"/>
    </xf>
    <xf numFmtId="9" fontId="0" fillId="2" borderId="5" xfId="4" applyNumberFormat="1" applyFont="1" applyFill="1" applyBorder="1" applyAlignment="1">
      <alignment horizontal="center" vertical="center"/>
    </xf>
    <xf numFmtId="0" fontId="1" fillId="2" borderId="5" xfId="2" applyNumberFormat="1" applyFont="1" applyFill="1" applyBorder="1" applyAlignment="1">
      <alignment horizontal="left" vertical="center" wrapText="1"/>
    </xf>
    <xf numFmtId="0" fontId="2" fillId="2" borderId="5" xfId="2" applyFill="1" applyBorder="1" applyAlignment="1">
      <alignment horizontal="left" vertical="center" wrapText="1"/>
    </xf>
    <xf numFmtId="0" fontId="2" fillId="4" borderId="5" xfId="2" applyFill="1" applyBorder="1" applyAlignment="1">
      <alignment horizontal="center" vertical="center"/>
    </xf>
    <xf numFmtId="0" fontId="1" fillId="2" borderId="5" xfId="2" applyNumberFormat="1" applyFont="1" applyFill="1" applyBorder="1" applyAlignment="1">
      <alignment horizontal="left" vertical="center"/>
    </xf>
    <xf numFmtId="170" fontId="1" fillId="4" borderId="5" xfId="2" applyNumberFormat="1" applyFont="1" applyFill="1" applyBorder="1" applyAlignment="1">
      <alignment horizontal="left" vertical="center" wrapText="1"/>
    </xf>
    <xf numFmtId="181" fontId="1" fillId="2" borderId="5" xfId="2" applyNumberFormat="1" applyFont="1" applyFill="1" applyBorder="1" applyAlignment="1">
      <alignment horizontal="left" vertical="center"/>
    </xf>
    <xf numFmtId="181" fontId="1" fillId="4" borderId="5" xfId="2" applyNumberFormat="1" applyFont="1" applyFill="1" applyBorder="1" applyAlignment="1">
      <alignment horizontal="left" vertical="center"/>
    </xf>
    <xf numFmtId="170" fontId="1" fillId="4" borderId="5" xfId="2" applyNumberFormat="1" applyFont="1" applyFill="1" applyBorder="1" applyAlignment="1">
      <alignment horizontal="left" vertical="center"/>
    </xf>
    <xf numFmtId="0" fontId="7" fillId="10" borderId="5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9" borderId="5" xfId="2" applyFont="1" applyFill="1" applyBorder="1" applyAlignment="1">
      <alignment horizontal="center"/>
    </xf>
    <xf numFmtId="181" fontId="2" fillId="16" borderId="5" xfId="2" applyNumberFormat="1" applyFill="1" applyBorder="1" applyAlignment="1">
      <alignment horizontal="left" vertical="center"/>
    </xf>
    <xf numFmtId="9" fontId="0" fillId="16" borderId="5" xfId="4" applyNumberFormat="1" applyFont="1" applyFill="1" applyBorder="1" applyAlignment="1">
      <alignment horizontal="center" vertical="center"/>
    </xf>
    <xf numFmtId="0" fontId="1" fillId="16" borderId="5" xfId="2" applyNumberFormat="1" applyFont="1" applyFill="1" applyBorder="1" applyAlignment="1">
      <alignment horizontal="left" vertical="center" wrapText="1"/>
    </xf>
    <xf numFmtId="0" fontId="2" fillId="16" borderId="5" xfId="2" applyFill="1" applyBorder="1" applyAlignment="1">
      <alignment horizontal="center" vertical="center"/>
    </xf>
    <xf numFmtId="0" fontId="2" fillId="16" borderId="5" xfId="2" applyFill="1" applyBorder="1" applyAlignment="1">
      <alignment horizontal="left" vertical="center"/>
    </xf>
    <xf numFmtId="180" fontId="2" fillId="16" borderId="5" xfId="2" applyNumberFormat="1" applyFill="1" applyBorder="1" applyAlignment="1">
      <alignment horizontal="left" vertical="center"/>
    </xf>
    <xf numFmtId="180" fontId="0" fillId="16" borderId="5" xfId="4" applyNumberFormat="1" applyFont="1" applyFill="1" applyBorder="1" applyAlignment="1">
      <alignment horizontal="left" vertical="center"/>
    </xf>
    <xf numFmtId="0" fontId="2" fillId="16" borderId="5" xfId="2" applyFill="1" applyBorder="1"/>
    <xf numFmtId="0" fontId="1" fillId="10" borderId="5" xfId="2" applyFont="1" applyFill="1" applyBorder="1"/>
    <xf numFmtId="0" fontId="2" fillId="10" borderId="5" xfId="2" applyFill="1" applyBorder="1"/>
    <xf numFmtId="0" fontId="5" fillId="10" borderId="5" xfId="2" applyFont="1" applyFill="1" applyBorder="1"/>
    <xf numFmtId="0" fontId="10" fillId="10" borderId="5" xfId="2" applyFont="1" applyFill="1" applyBorder="1"/>
    <xf numFmtId="181" fontId="5" fillId="2" borderId="5" xfId="2" applyNumberFormat="1" applyFont="1" applyFill="1" applyBorder="1" applyAlignment="1">
      <alignment horizontal="left"/>
    </xf>
    <xf numFmtId="179" fontId="5" fillId="2" borderId="5" xfId="2" applyNumberFormat="1" applyFont="1" applyFill="1" applyBorder="1" applyAlignment="1">
      <alignment horizontal="left"/>
    </xf>
    <xf numFmtId="0" fontId="5" fillId="2" borderId="5" xfId="2" applyNumberFormat="1" applyFont="1" applyFill="1" applyBorder="1" applyAlignment="1">
      <alignment horizontal="left" vertical="center"/>
    </xf>
    <xf numFmtId="170" fontId="5" fillId="4" borderId="5" xfId="2" applyNumberFormat="1" applyFont="1" applyFill="1" applyBorder="1" applyAlignment="1"/>
    <xf numFmtId="179" fontId="5" fillId="4" borderId="5" xfId="2" applyNumberFormat="1" applyFont="1" applyFill="1" applyBorder="1" applyAlignment="1"/>
    <xf numFmtId="181" fontId="4" fillId="16" borderId="5" xfId="4" applyNumberFormat="1" applyFont="1" applyFill="1" applyBorder="1"/>
    <xf numFmtId="9" fontId="5" fillId="16" borderId="5" xfId="2" applyNumberFormat="1" applyFont="1" applyFill="1" applyBorder="1" applyAlignment="1">
      <alignment horizontal="center"/>
    </xf>
    <xf numFmtId="9" fontId="5" fillId="4" borderId="5" xfId="2" applyNumberFormat="1" applyFont="1" applyFill="1" applyBorder="1" applyAlignment="1">
      <alignment horizontal="center"/>
    </xf>
    <xf numFmtId="9" fontId="4" fillId="2" borderId="5" xfId="4" applyNumberFormat="1" applyFont="1" applyFill="1" applyBorder="1" applyAlignment="1">
      <alignment horizontal="center"/>
    </xf>
    <xf numFmtId="179" fontId="2" fillId="16" borderId="5" xfId="2" applyNumberFormat="1" applyFill="1" applyBorder="1" applyAlignment="1">
      <alignment horizontal="left" vertical="center"/>
    </xf>
    <xf numFmtId="179" fontId="5" fillId="16" borderId="5" xfId="2" applyNumberFormat="1" applyFont="1" applyFill="1" applyBorder="1" applyAlignment="1">
      <alignment wrapText="1"/>
    </xf>
    <xf numFmtId="0" fontId="1" fillId="0" borderId="0" xfId="2" applyFont="1" applyAlignment="1">
      <alignment vertical="center"/>
    </xf>
    <xf numFmtId="0" fontId="11" fillId="5" borderId="5" xfId="2" applyFont="1" applyFill="1" applyBorder="1"/>
    <xf numFmtId="0" fontId="11" fillId="5" borderId="6" xfId="2" applyFont="1" applyFill="1" applyBorder="1"/>
    <xf numFmtId="0" fontId="11" fillId="5" borderId="9" xfId="2" applyFont="1" applyFill="1" applyBorder="1"/>
    <xf numFmtId="0" fontId="11" fillId="5" borderId="8" xfId="2" applyFont="1" applyFill="1" applyBorder="1"/>
    <xf numFmtId="0" fontId="12" fillId="5" borderId="10" xfId="2" applyFont="1" applyFill="1" applyBorder="1"/>
    <xf numFmtId="0" fontId="11" fillId="5" borderId="11" xfId="2" applyFont="1" applyFill="1" applyBorder="1"/>
    <xf numFmtId="0" fontId="11" fillId="5" borderId="12" xfId="2" applyFont="1" applyFill="1" applyBorder="1"/>
    <xf numFmtId="0" fontId="11" fillId="5" borderId="13" xfId="2" applyFont="1" applyFill="1" applyBorder="1"/>
    <xf numFmtId="0" fontId="11" fillId="5" borderId="14" xfId="2" applyFont="1" applyFill="1" applyBorder="1"/>
    <xf numFmtId="2" fontId="2" fillId="0" borderId="0" xfId="2" applyNumberFormat="1" applyFill="1" applyBorder="1"/>
    <xf numFmtId="179" fontId="11" fillId="0" borderId="0" xfId="2" applyNumberFormat="1" applyFont="1" applyFill="1" applyBorder="1" applyAlignment="1">
      <alignment horizontal="left" vertical="center"/>
    </xf>
    <xf numFmtId="178" fontId="11" fillId="0" borderId="0" xfId="2" applyNumberFormat="1" applyFont="1"/>
    <xf numFmtId="0" fontId="11" fillId="0" borderId="0" xfId="2" applyFont="1"/>
    <xf numFmtId="0" fontId="11" fillId="0" borderId="0" xfId="6" applyFont="1" applyFill="1"/>
    <xf numFmtId="0" fontId="10" fillId="5" borderId="5" xfId="6" applyFont="1" applyFill="1" applyBorder="1"/>
    <xf numFmtId="0" fontId="11" fillId="5" borderId="5" xfId="6" applyFont="1" applyFill="1" applyBorder="1"/>
    <xf numFmtId="0" fontId="1" fillId="4" borderId="5" xfId="6" applyFill="1" applyBorder="1"/>
    <xf numFmtId="9" fontId="1" fillId="4" borderId="5" xfId="6" applyNumberFormat="1" applyFill="1" applyBorder="1"/>
    <xf numFmtId="1" fontId="10" fillId="5" borderId="5" xfId="6" applyNumberFormat="1" applyFont="1" applyFill="1" applyBorder="1"/>
    <xf numFmtId="9" fontId="10" fillId="5" borderId="5" xfId="6" applyNumberFormat="1" applyFont="1" applyFill="1" applyBorder="1"/>
    <xf numFmtId="0" fontId="10" fillId="5" borderId="5" xfId="6" applyFont="1" applyFill="1" applyBorder="1" applyAlignment="1">
      <alignment horizontal="left" vertical="top" wrapText="1"/>
    </xf>
    <xf numFmtId="1" fontId="1" fillId="4" borderId="5" xfId="6" applyNumberFormat="1" applyFill="1" applyBorder="1"/>
    <xf numFmtId="9" fontId="1" fillId="4" borderId="5" xfId="1" applyFont="1" applyFill="1" applyBorder="1"/>
    <xf numFmtId="0" fontId="10" fillId="5" borderId="5" xfId="6" applyFont="1" applyFill="1" applyBorder="1" applyAlignment="1">
      <alignment horizontal="center"/>
    </xf>
    <xf numFmtId="175" fontId="1" fillId="4" borderId="5" xfId="5" applyNumberFormat="1" applyFont="1" applyFill="1" applyBorder="1"/>
    <xf numFmtId="175" fontId="1" fillId="4" borderId="5" xfId="6" applyNumberFormat="1" applyFill="1" applyBorder="1"/>
    <xf numFmtId="0" fontId="13" fillId="5" borderId="5" xfId="6" applyFont="1" applyFill="1" applyBorder="1"/>
    <xf numFmtId="0" fontId="1" fillId="5" borderId="5" xfId="6" applyFill="1" applyBorder="1"/>
    <xf numFmtId="3" fontId="1" fillId="4" borderId="5" xfId="6" applyNumberFormat="1" applyFill="1" applyBorder="1"/>
    <xf numFmtId="0" fontId="9" fillId="5" borderId="7" xfId="6" applyFont="1" applyFill="1" applyBorder="1"/>
    <xf numFmtId="0" fontId="9" fillId="5" borderId="16" xfId="6" applyFont="1" applyFill="1" applyBorder="1"/>
    <xf numFmtId="0" fontId="0" fillId="0" borderId="0" xfId="0" applyFont="1"/>
    <xf numFmtId="0" fontId="0" fillId="15" borderId="0" xfId="0" applyFont="1" applyFill="1" applyAlignment="1">
      <alignment horizontal="left" vertical="center"/>
    </xf>
    <xf numFmtId="0" fontId="1" fillId="2" borderId="7" xfId="2" applyFont="1" applyFill="1" applyBorder="1" applyAlignment="1">
      <alignment horizontal="center"/>
    </xf>
    <xf numFmtId="0" fontId="1" fillId="2" borderId="15" xfId="2" applyFont="1" applyFill="1" applyBorder="1" applyAlignment="1">
      <alignment horizontal="center"/>
    </xf>
    <xf numFmtId="0" fontId="1" fillId="2" borderId="16" xfId="2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2" fontId="1" fillId="2" borderId="15" xfId="2" applyNumberFormat="1" applyFont="1" applyFill="1" applyBorder="1" applyAlignment="1">
      <alignment horizontal="center"/>
    </xf>
    <xf numFmtId="2" fontId="1" fillId="2" borderId="16" xfId="2" applyNumberFormat="1" applyFont="1" applyFill="1" applyBorder="1" applyAlignment="1">
      <alignment horizontal="center"/>
    </xf>
    <xf numFmtId="0" fontId="8" fillId="10" borderId="0" xfId="2" applyFont="1" applyFill="1" applyAlignment="1">
      <alignment horizontal="center" vertical="center"/>
    </xf>
    <xf numFmtId="0" fontId="8" fillId="10" borderId="13" xfId="2" applyFont="1" applyFill="1" applyBorder="1" applyAlignment="1">
      <alignment horizontal="center" vertical="center"/>
    </xf>
    <xf numFmtId="0" fontId="7" fillId="10" borderId="5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9" borderId="5" xfId="2" applyFont="1" applyFill="1" applyBorder="1" applyAlignment="1">
      <alignment horizontal="center"/>
    </xf>
    <xf numFmtId="0" fontId="14" fillId="4" borderId="5" xfId="7" applyFill="1" applyBorder="1" applyAlignment="1">
      <alignment horizontal="center" vertical="top" wrapText="1"/>
    </xf>
    <xf numFmtId="0" fontId="1" fillId="4" borderId="5" xfId="6" applyFill="1" applyBorder="1" applyAlignment="1">
      <alignment horizontal="center" vertical="top" wrapText="1"/>
    </xf>
    <xf numFmtId="1" fontId="11" fillId="0" borderId="0" xfId="6" applyNumberFormat="1" applyFont="1"/>
    <xf numFmtId="0" fontId="11" fillId="0" borderId="0" xfId="6" applyFont="1"/>
    <xf numFmtId="2" fontId="11" fillId="0" borderId="0" xfId="6" applyNumberFormat="1" applyFont="1"/>
    <xf numFmtId="0" fontId="14" fillId="0" borderId="0" xfId="7"/>
  </cellXfs>
  <cellStyles count="8">
    <cellStyle name="Hyperkobling" xfId="7" builtinId="8"/>
    <cellStyle name="Komma" xfId="5" builtinId="3"/>
    <cellStyle name="Normal" xfId="0" builtinId="0"/>
    <cellStyle name="Normal 2" xfId="2" xr:uid="{9483FE59-FCB4-4BC7-8D8B-CEE1C3459766}"/>
    <cellStyle name="Normal 2 2" xfId="6" xr:uid="{F34B0103-0642-4EDC-8825-E53DD803B96D}"/>
    <cellStyle name="Prosent" xfId="1" builtinId="5"/>
    <cellStyle name="Prosent 2" xfId="4" xr:uid="{C2FC3C26-9D95-43D4-84B9-C8D8A6D81C61}"/>
    <cellStyle name="Valuta 2" xfId="3" xr:uid="{16A83901-8709-4B8F-8008-D4672A35E19F}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</dxfs>
  <tableStyles count="1" defaultTableStyle="TableStyleMedium2" defaultPivotStyle="PivotStyleLight16">
    <tableStyle name="Table Style 1" pivot="0" count="0" xr9:uid="{E6539CBE-7555-F743-9B91-B1359A185B62}"/>
  </tableStyles>
  <colors>
    <mruColors>
      <color rgb="FFFFD966"/>
      <color rgb="FFE5EDFF"/>
      <color rgb="FFECFCFF"/>
      <color rgb="FFDDEBF9"/>
      <color rgb="FFDDEBF8"/>
      <color rgb="FF305396"/>
      <color rgb="FFFF33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/>
              <a:t>Variation in cost of co2 avoided in cement, iron and steel and ammonia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Iron and Steel</c:v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'Average Costs and %'!$B$22:$B$33</c:f>
              <c:numCache>
                <c:formatCode>_ [$kr-414]\ * #\ ##0_ ;_ [$kr-414]\ * \-#\ ##0_ ;_ [$kr-414]\ * "-"??_ ;_ @_ </c:formatCode>
                <c:ptCount val="12"/>
                <c:pt idx="0">
                  <c:v>265</c:v>
                </c:pt>
                <c:pt idx="1">
                  <c:v>317</c:v>
                </c:pt>
                <c:pt idx="2">
                  <c:v>317</c:v>
                </c:pt>
                <c:pt idx="3">
                  <c:v>453</c:v>
                </c:pt>
                <c:pt idx="4">
                  <c:v>505</c:v>
                </c:pt>
                <c:pt idx="5">
                  <c:v>522</c:v>
                </c:pt>
                <c:pt idx="6">
                  <c:v>573</c:v>
                </c:pt>
                <c:pt idx="7">
                  <c:v>625</c:v>
                </c:pt>
                <c:pt idx="8">
                  <c:v>642</c:v>
                </c:pt>
                <c:pt idx="9">
                  <c:v>924</c:v>
                </c:pt>
                <c:pt idx="10">
                  <c:v>941</c:v>
                </c:pt>
                <c:pt idx="11">
                  <c:v>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3-1E42-A585-2A8BABD51B89}"/>
            </c:ext>
          </c:extLst>
        </c:ser>
        <c:ser>
          <c:idx val="1"/>
          <c:order val="1"/>
          <c:tx>
            <c:v>Cement</c:v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'Average Costs and %'!$D$22:$D$31</c:f>
              <c:numCache>
                <c:formatCode>_ [$kr-414]\ * #\ ##0_ ;_ [$kr-414]\ * \-#\ ##0_ ;_ [$kr-414]\ * "-"??_ ;_ @_ </c:formatCode>
                <c:ptCount val="10"/>
                <c:pt idx="0">
                  <c:v>265</c:v>
                </c:pt>
                <c:pt idx="1">
                  <c:v>368</c:v>
                </c:pt>
                <c:pt idx="2">
                  <c:v>685</c:v>
                </c:pt>
                <c:pt idx="3">
                  <c:v>744</c:v>
                </c:pt>
                <c:pt idx="4">
                  <c:v>890</c:v>
                </c:pt>
                <c:pt idx="5">
                  <c:v>933</c:v>
                </c:pt>
                <c:pt idx="6">
                  <c:v>1001</c:v>
                </c:pt>
                <c:pt idx="7">
                  <c:v>1138</c:v>
                </c:pt>
                <c:pt idx="8" formatCode="General">
                  <c:v>1403</c:v>
                </c:pt>
                <c:pt idx="9" formatCode="General">
                  <c:v>1643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E3-1E42-A585-2A8BABD51B89}"/>
            </c:ext>
          </c:extLst>
        </c:ser>
        <c:ser>
          <c:idx val="2"/>
          <c:order val="2"/>
          <c:tx>
            <c:v>Ammonia</c:v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'Average Costs and %'!$F$22:$F$29</c:f>
              <c:numCache>
                <c:formatCode>_ [$kr-414]\ * #\ ##0.00_ ;_ [$kr-414]\ * \-#\ ##0.00_ ;_ [$kr-414]\ * "-"??_ ;_ @_ </c:formatCode>
                <c:ptCount val="8"/>
                <c:pt idx="0">
                  <c:v>128</c:v>
                </c:pt>
                <c:pt idx="1">
                  <c:v>197</c:v>
                </c:pt>
                <c:pt idx="2">
                  <c:v>248</c:v>
                </c:pt>
                <c:pt idx="3">
                  <c:v>248</c:v>
                </c:pt>
                <c:pt idx="4">
                  <c:v>257</c:v>
                </c:pt>
                <c:pt idx="5">
                  <c:v>265</c:v>
                </c:pt>
                <c:pt idx="6">
                  <c:v>291</c:v>
                </c:pt>
                <c:pt idx="7">
                  <c:v>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E3-1E42-A585-2A8BABD51B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28304"/>
        <c:axId val="1769895903"/>
      </c:lineChart>
      <c:catAx>
        <c:axId val="1006283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769895903"/>
        <c:crosses val="autoZero"/>
        <c:auto val="1"/>
        <c:lblAlgn val="ctr"/>
        <c:lblOffset val="100"/>
        <c:noMultiLvlLbl val="0"/>
      </c:catAx>
      <c:valAx>
        <c:axId val="1769895903"/>
        <c:scaling>
          <c:orientation val="minMax"/>
        </c:scaling>
        <c:delete val="1"/>
        <c:axPos val="l"/>
        <c:numFmt formatCode="_ [$kr-414]\ * #\ ##0_ ;_ [$kr-414]\ * \-#\ ##0_ ;_ [$kr-414]\ * &quot;-&quot;??_ ;_ @_ " sourceLinked="1"/>
        <c:majorTickMark val="none"/>
        <c:minorTickMark val="none"/>
        <c:tickLblPos val="nextTo"/>
        <c:crossAx val="10062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Global CO2</a:t>
            </a:r>
            <a:r>
              <a:rPr lang="en-GB" baseline="0"/>
              <a:t> emissions in 2017 by fossil fuels and industry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24-44D7-BCD5-D6E66A4B54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24-44D7-BCD5-D6E66A4B54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24-44D7-BCD5-D6E66A4B54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624-44D7-BCD5-D6E66A4B54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624-44D7-BCD5-D6E66A4B54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'Global CO2 emissions by sec '!$B$6:$B$10</c:f>
              <c:strCache>
                <c:ptCount val="5"/>
                <c:pt idx="0">
                  <c:v>Coal</c:v>
                </c:pt>
                <c:pt idx="1">
                  <c:v>Oil</c:v>
                </c:pt>
                <c:pt idx="2">
                  <c:v>Gas</c:v>
                </c:pt>
                <c:pt idx="3">
                  <c:v>Cement </c:v>
                </c:pt>
                <c:pt idx="4">
                  <c:v>Flaring</c:v>
                </c:pt>
              </c:strCache>
            </c:strRef>
          </c:cat>
          <c:val>
            <c:numRef>
              <c:f>'Global CO2 emissions by sec '!$C$6:$C$10</c:f>
              <c:numCache>
                <c:formatCode>General</c:formatCode>
                <c:ptCount val="5"/>
                <c:pt idx="0">
                  <c:v>14480</c:v>
                </c:pt>
                <c:pt idx="1">
                  <c:v>12670</c:v>
                </c:pt>
                <c:pt idx="2">
                  <c:v>7240</c:v>
                </c:pt>
                <c:pt idx="3">
                  <c:v>1448</c:v>
                </c:pt>
                <c:pt idx="4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24-44D7-BCD5-D6E66A4B54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Global CO2</a:t>
            </a:r>
            <a:r>
              <a:rPr lang="en-GB" sz="2400" baseline="0"/>
              <a:t> reductions required by 2030</a:t>
            </a:r>
            <a:endParaRPr lang="en-GB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7"/>
            <c:spPr>
              <a:solidFill>
                <a:schemeClr val="bg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821-4649-994B-FE8834025EDA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821-4649-994B-FE8834025EDA}"/>
              </c:ext>
            </c:extLst>
          </c:dPt>
          <c:dPt>
            <c:idx val="2"/>
            <c:bubble3D val="0"/>
            <c:spPr>
              <a:pattFill prst="wdDnDiag">
                <a:fgClr>
                  <a:srgbClr val="92D050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821-4649-994B-FE8834025ED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21-4649-994B-FE8834025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'Global CO2 emissions by sec '!$B$13:$B$15</c:f>
              <c:strCache>
                <c:ptCount val="3"/>
                <c:pt idx="0">
                  <c:v>Remaining emissions</c:v>
                </c:pt>
                <c:pt idx="1">
                  <c:v>Reductions</c:v>
                </c:pt>
                <c:pt idx="2">
                  <c:v>CCS</c:v>
                </c:pt>
              </c:strCache>
            </c:strRef>
          </c:cat>
          <c:val>
            <c:numRef>
              <c:f>'Global CO2 emissions by sec '!$C$13:$C$15</c:f>
              <c:numCache>
                <c:formatCode>0</c:formatCode>
                <c:ptCount val="3"/>
                <c:pt idx="0">
                  <c:v>19910</c:v>
                </c:pt>
                <c:pt idx="1">
                  <c:v>13756</c:v>
                </c:pt>
                <c:pt idx="2">
                  <c:v>2534.0000000000005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21-4649-994B-FE8834025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22414092057763152"/>
          <c:y val="0.84123104815058392"/>
          <c:w val="0.57173722687567763"/>
          <c:h val="5.71888164092355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annual CO2 emissions in Scandinavia [t]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'Global CO2 emissions by sec '!$B$26:$B$29</c:f>
              <c:strCache>
                <c:ptCount val="4"/>
                <c:pt idx="0">
                  <c:v>Paper and pulp</c:v>
                </c:pt>
                <c:pt idx="1">
                  <c:v>Cement </c:v>
                </c:pt>
                <c:pt idx="2">
                  <c:v>Iron and Steel</c:v>
                </c:pt>
                <c:pt idx="3">
                  <c:v>Ammonia</c:v>
                </c:pt>
              </c:strCache>
            </c:strRef>
          </c:cat>
          <c:val>
            <c:numRef>
              <c:f>'Global CO2 emissions by sec '!$C$26:$C$29</c:f>
              <c:numCache>
                <c:formatCode>#,##0</c:formatCode>
                <c:ptCount val="4"/>
                <c:pt idx="0">
                  <c:v>23121029</c:v>
                </c:pt>
                <c:pt idx="1">
                  <c:v>6059782</c:v>
                </c:pt>
                <c:pt idx="2">
                  <c:v>5148554</c:v>
                </c:pt>
                <c:pt idx="3">
                  <c:v>827000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9-47DE-BF54-C84DE0702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03906000"/>
        <c:axId val="292705328"/>
      </c:barChart>
      <c:catAx>
        <c:axId val="200390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05328"/>
        <c:crosses val="autoZero"/>
        <c:auto val="1"/>
        <c:lblAlgn val="ctr"/>
        <c:lblOffset val="100"/>
        <c:noMultiLvlLbl val="0"/>
      </c:catAx>
      <c:valAx>
        <c:axId val="29270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390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Cost of capture, transportation</a:t>
            </a:r>
            <a:r>
              <a:rPr lang="en-GB" baseline="0"/>
              <a:t> and storage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D49-4744-AB9A-7867634084E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D49-4744-AB9A-7867634084E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D49-4744-AB9A-7867634084E5}"/>
              </c:ext>
            </c:extLst>
          </c:dPt>
          <c:dLbls>
            <c:numFmt formatCode="&quot;kr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'Global CO2 emissions by sec '!$B$17:$B$19</c:f>
              <c:strCache>
                <c:ptCount val="3"/>
                <c:pt idx="0">
                  <c:v>Cost of capture</c:v>
                </c:pt>
                <c:pt idx="1">
                  <c:v>Storage</c:v>
                </c:pt>
                <c:pt idx="2">
                  <c:v>Transportation</c:v>
                </c:pt>
              </c:strCache>
            </c:strRef>
          </c:cat>
          <c:val>
            <c:numRef>
              <c:f>'Global CO2 emissions by sec '!$C$17:$C$19</c:f>
              <c:numCache>
                <c:formatCode>_(* #\ ##0_);_(* \(#\ ##0\);_(* "-"??_);_(@_)</c:formatCode>
                <c:ptCount val="3"/>
                <c:pt idx="0">
                  <c:v>3747626812.8067989</c:v>
                </c:pt>
                <c:pt idx="1">
                  <c:v>1070750517.9447999</c:v>
                </c:pt>
                <c:pt idx="2">
                  <c:v>535375258.97239995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3-43F1-80E8-943AE66CF67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133702</xdr:colOff>
      <xdr:row>58</xdr:row>
      <xdr:rowOff>177800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9C332D-5D89-5E4D-BA51-6CB7DA95B62A}"/>
            </a:ext>
          </a:extLst>
        </xdr:cNvPr>
        <xdr:cNvSpPr txBox="1"/>
      </xdr:nvSpPr>
      <xdr:spPr>
        <a:xfrm>
          <a:off x="22076480" y="402307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10</xdr:col>
      <xdr:colOff>0</xdr:colOff>
      <xdr:row>25</xdr:row>
      <xdr:rowOff>905</xdr:rowOff>
    </xdr:from>
    <xdr:to>
      <xdr:col>14</xdr:col>
      <xdr:colOff>0</xdr:colOff>
      <xdr:row>34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6C5242B3-90D8-614B-9811-2AF8AF742D77}"/>
                </a:ext>
              </a:extLst>
            </xdr:cNvPr>
            <xdr:cNvSpPr txBox="1"/>
          </xdr:nvSpPr>
          <xdr:spPr>
            <a:xfrm>
              <a:off x="20033226" y="5162840"/>
              <a:ext cx="9326989" cy="1842644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/>
                <a:t>The amount that could be captured from the focus facilities are estimated to be 7,296,522</a:t>
              </a:r>
              <a:r>
                <a:rPr lang="en-US" sz="1100" baseline="0"/>
                <a:t> tonnes of CO2. This equals 10% of the total emissions from all logged industries in Scandinavia with emissions over 100,000 tCO2/y. </a:t>
              </a:r>
            </a:p>
            <a:p>
              <a:pPr algn="ctr"/>
              <a:endParaRPr lang="en-US" sz="1100" i="1">
                <a:latin typeface="Cambria Math" panose="02040503050406030204" pitchFamily="18" charset="0"/>
              </a:endParaRPr>
            </a:p>
            <a:p>
              <a:pPr algn="ctr"/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nb-NO" sz="1100" b="0" i="1">
                          <a:latin typeface="Cambria Math" panose="02040503050406030204" pitchFamily="18" charset="0"/>
                        </a:rPr>
                        <m:t>7,296,522 </m:t>
                      </m:r>
                      <m:r>
                        <a:rPr lang="nb-NO" sz="1100" b="0" i="1">
                          <a:latin typeface="Cambria Math" panose="02040503050406030204" pitchFamily="18" charset="0"/>
                        </a:rPr>
                        <m:t>𝑡𝐶𝑂</m:t>
                      </m:r>
                      <m:r>
                        <a:rPr lang="nb-NO" sz="1100" b="0" i="1">
                          <a:latin typeface="Cambria Math" panose="02040503050406030204" pitchFamily="18" charset="0"/>
                        </a:rPr>
                        <m:t>2</m:t>
                      </m:r>
                    </m:num>
                    <m:den>
                      <m:r>
                        <a:rPr lang="nb-NO" sz="1100" b="0" i="1">
                          <a:latin typeface="Cambria Math" panose="02040503050406030204" pitchFamily="18" charset="0"/>
                        </a:rPr>
                        <m:t>73,965,015 </m:t>
                      </m:r>
                      <m:r>
                        <a:rPr lang="nb-NO" sz="1100" b="0" i="1">
                          <a:latin typeface="Cambria Math" panose="02040503050406030204" pitchFamily="18" charset="0"/>
                        </a:rPr>
                        <m:t>𝑡𝐶𝑂</m:t>
                      </m:r>
                      <m:r>
                        <a:rPr lang="nb-NO" sz="1100" b="0" i="1">
                          <a:latin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nb-NO" sz="1100" b="0" i="1">
                      <a:latin typeface="Cambria Math" panose="02040503050406030204" pitchFamily="18" charset="0"/>
                    </a:rPr>
                    <m:t>=10%</m:t>
                  </m:r>
                </m:oMath>
              </a14:m>
              <a:r>
                <a:rPr lang="en-US" sz="1100"/>
                <a:t> </a:t>
              </a:r>
            </a:p>
            <a:p>
              <a:pPr algn="ctr"/>
              <a:endParaRPr lang="en-US" sz="1100"/>
            </a:p>
            <a:p>
              <a:pPr algn="l"/>
              <a:r>
                <a:rPr lang="en-US" sz="1100"/>
                <a:t>Total</a:t>
              </a:r>
              <a:r>
                <a:rPr lang="en-US" sz="1100" baseline="0"/>
                <a:t> emission from the 6 focus facilities add up to be 8,015,358. If we add the remaining facilities from iron and steel, cement and ammonia production in Scandinavia, this number becomes 12,035,336. The 6 focus facilites represents 67% of the total emissions within the 3 industries. </a:t>
              </a:r>
              <a:endParaRPr lang="en-US" sz="1100"/>
            </a:p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8,015,358</m:t>
                        </m:r>
                      </m:num>
                      <m:den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12,035,336</m:t>
                        </m:r>
                      </m:den>
                    </m:f>
                    <m:r>
                      <a:rPr lang="nb-NO" sz="1100" b="0" i="1">
                        <a:latin typeface="Cambria Math" panose="02040503050406030204" pitchFamily="18" charset="0"/>
                      </a:rPr>
                      <m:t>=67%</m:t>
                    </m:r>
                  </m:oMath>
                </m:oMathPara>
              </a14:m>
              <a:endParaRPr lang="nb-NO" sz="1100" b="0"/>
            </a:p>
            <a:p>
              <a:pPr algn="ctr"/>
              <a:endParaRPr lang="en-US" sz="1100"/>
            </a:p>
            <a:p>
              <a:pPr algn="ctr"/>
              <a:endParaRPr lang="en-US" sz="1100"/>
            </a:p>
            <a:p>
              <a:pPr algn="l"/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6C5242B3-90D8-614B-9811-2AF8AF742D77}"/>
                </a:ext>
              </a:extLst>
            </xdr:cNvPr>
            <xdr:cNvSpPr txBox="1"/>
          </xdr:nvSpPr>
          <xdr:spPr>
            <a:xfrm>
              <a:off x="20033226" y="5162840"/>
              <a:ext cx="9326989" cy="1842644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/>
                <a:t>The amount that could be captured from the focus facilities are estimated to be 7,296,522</a:t>
              </a:r>
              <a:r>
                <a:rPr lang="en-US" sz="1100" baseline="0"/>
                <a:t> tonnes of CO2. This equals 10% of the total emissions from all logged industries in Scandinavia with emissions over 100,000 tCO2/y. </a:t>
              </a:r>
            </a:p>
            <a:p>
              <a:pPr algn="ctr"/>
              <a:endParaRPr lang="en-US" sz="1100" i="1">
                <a:latin typeface="Cambria Math" panose="02040503050406030204" pitchFamily="18" charset="0"/>
              </a:endParaRPr>
            </a:p>
            <a:p>
              <a:pPr algn="ctr"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nb-NO" sz="1100" b="0" i="0">
                  <a:latin typeface="Cambria Math" panose="02040503050406030204" pitchFamily="18" charset="0"/>
                </a:rPr>
                <a:t>7,296,522 𝑡𝐶𝑂2</a:t>
              </a:r>
              <a:r>
                <a:rPr lang="en-US" sz="1100" b="0" i="0">
                  <a:latin typeface="Cambria Math" panose="02040503050406030204" pitchFamily="18" charset="0"/>
                </a:rPr>
                <a:t>)/(</a:t>
              </a:r>
              <a:r>
                <a:rPr lang="nb-NO" sz="1100" b="0" i="0">
                  <a:latin typeface="Cambria Math" panose="02040503050406030204" pitchFamily="18" charset="0"/>
                </a:rPr>
                <a:t>73,965,015 𝑡𝐶𝑂2</a:t>
              </a:r>
              <a:r>
                <a:rPr lang="en-US" sz="1100" b="0" i="0">
                  <a:latin typeface="Cambria Math" panose="02040503050406030204" pitchFamily="18" charset="0"/>
                </a:rPr>
                <a:t>)</a:t>
              </a:r>
              <a:r>
                <a:rPr lang="nb-NO" sz="1100" b="0" i="0">
                  <a:latin typeface="Cambria Math" panose="02040503050406030204" pitchFamily="18" charset="0"/>
                </a:rPr>
                <a:t>=10%</a:t>
              </a:r>
              <a:r>
                <a:rPr lang="en-US" sz="1100"/>
                <a:t> </a:t>
              </a:r>
            </a:p>
            <a:p>
              <a:pPr algn="ctr"/>
              <a:endParaRPr lang="en-US" sz="1100"/>
            </a:p>
            <a:p>
              <a:pPr algn="l"/>
              <a:r>
                <a:rPr lang="en-US" sz="1100"/>
                <a:t>Total</a:t>
              </a:r>
              <a:r>
                <a:rPr lang="en-US" sz="1100" baseline="0"/>
                <a:t> emission from the 6 focus facilities add up to be 8,015,358. If we add the remaining facilities from iron and steel, cement and ammonia production in Scandinavia, this number becomes 12,035,336. The 6 focus facilites represents 67% of the total emissions within the 3 industries. </a:t>
              </a:r>
              <a:endParaRPr lang="en-US" sz="1100"/>
            </a:p>
            <a:p>
              <a:pPr algn="ctr"/>
              <a:r>
                <a:rPr lang="nb-NO" sz="1100" b="0" i="0">
                  <a:latin typeface="Cambria Math" panose="02040503050406030204" pitchFamily="18" charset="0"/>
                </a:rPr>
                <a:t>8,015,358</a:t>
              </a:r>
              <a:r>
                <a:rPr lang="en-US" sz="1100" b="0" i="0">
                  <a:latin typeface="Cambria Math" panose="02040503050406030204" pitchFamily="18" charset="0"/>
                </a:rPr>
                <a:t>/</a:t>
              </a:r>
              <a:r>
                <a:rPr lang="nb-NO" sz="1100" b="0" i="0">
                  <a:latin typeface="Cambria Math" panose="02040503050406030204" pitchFamily="18" charset="0"/>
                </a:rPr>
                <a:t>12,035,336=67%</a:t>
              </a:r>
              <a:endParaRPr lang="nb-NO" sz="1100" b="0"/>
            </a:p>
            <a:p>
              <a:pPr algn="ctr"/>
              <a:endParaRPr lang="en-US" sz="1100"/>
            </a:p>
            <a:p>
              <a:pPr algn="ctr"/>
              <a:endParaRPr lang="en-US" sz="1100"/>
            </a:p>
            <a:p>
              <a:pPr algn="l"/>
              <a:endParaRPr lang="en-US" sz="1100"/>
            </a:p>
          </xdr:txBody>
        </xdr:sp>
      </mc:Fallback>
    </mc:AlternateContent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0</xdr:colOff>
      <xdr:row>56</xdr:row>
      <xdr:rowOff>12700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36AED964-C571-9A4F-AB52-71258C399D32}"/>
            </a:ext>
          </a:extLst>
        </xdr:cNvPr>
        <xdr:cNvSpPr txBox="1"/>
      </xdr:nvSpPr>
      <xdr:spPr>
        <a:xfrm>
          <a:off x="20040600" y="9791700"/>
          <a:ext cx="5029200" cy="1638300"/>
        </a:xfrm>
        <a:prstGeom prst="rect">
          <a:avLst/>
        </a:prstGeom>
        <a:solidFill>
          <a:srgbClr val="00205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>
              <a:solidFill>
                <a:schemeClr val="bg1"/>
              </a:solidFill>
            </a:rPr>
            <a:t>All emission data is gathered from the following databases:</a:t>
          </a:r>
        </a:p>
        <a:p>
          <a:pPr algn="l"/>
          <a:endParaRPr lang="en-US" sz="1200" b="1">
            <a:solidFill>
              <a:schemeClr val="bg1"/>
            </a:solidFill>
          </a:endParaRPr>
        </a:p>
        <a:p>
          <a:pPr algn="l"/>
          <a:r>
            <a:rPr lang="en-US" sz="1200" b="1">
              <a:solidFill>
                <a:schemeClr val="bg1"/>
              </a:solidFill>
            </a:rPr>
            <a:t>Norway:</a:t>
          </a:r>
          <a:r>
            <a:rPr lang="en-US" sz="1200" b="1" baseline="0">
              <a:solidFill>
                <a:schemeClr val="bg1"/>
              </a:solidFill>
            </a:rPr>
            <a:t> 	  https://www.norskeutslipp.no</a:t>
          </a:r>
          <a:endParaRPr lang="en-US" sz="1200" b="1">
            <a:solidFill>
              <a:schemeClr val="bg1"/>
            </a:solidFill>
          </a:endParaRPr>
        </a:p>
        <a:p>
          <a:pPr algn="l"/>
          <a:endParaRPr lang="en-US" sz="1200" b="1">
            <a:solidFill>
              <a:schemeClr val="bg1"/>
            </a:solidFill>
          </a:endParaRPr>
        </a:p>
        <a:p>
          <a:pPr algn="l"/>
          <a:r>
            <a:rPr lang="en-US" sz="1200" b="1">
              <a:solidFill>
                <a:schemeClr val="bg1"/>
              </a:solidFill>
            </a:rPr>
            <a:t>Denmark: 	  https://prtr.eea.europa.eu	</a:t>
          </a:r>
        </a:p>
        <a:p>
          <a:pPr algn="l"/>
          <a:endParaRPr lang="en-US" sz="1200" b="1">
            <a:solidFill>
              <a:schemeClr val="bg1"/>
            </a:solidFill>
          </a:endParaRPr>
        </a:p>
        <a:p>
          <a:pPr algn="l"/>
          <a:r>
            <a:rPr lang="en-US" sz="1200" b="1">
              <a:solidFill>
                <a:schemeClr val="bg1"/>
              </a:solidFill>
            </a:rPr>
            <a:t>Sweden: 	  http://utslappisiffror.naturvardsverket.se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24248</xdr:colOff>
      <xdr:row>3</xdr:row>
      <xdr:rowOff>784</xdr:rowOff>
    </xdr:from>
    <xdr:to>
      <xdr:col>28</xdr:col>
      <xdr:colOff>0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BE8605F-1AD5-C940-BB29-9298C03F7A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25</xdr:row>
      <xdr:rowOff>0</xdr:rowOff>
    </xdr:from>
    <xdr:to>
      <xdr:col>16</xdr:col>
      <xdr:colOff>0</xdr:colOff>
      <xdr:row>53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4AA4303-6D57-41AA-8123-1624BC456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808823</xdr:colOff>
      <xdr:row>1</xdr:row>
      <xdr:rowOff>10266</xdr:rowOff>
    </xdr:from>
    <xdr:to>
      <xdr:col>16</xdr:col>
      <xdr:colOff>0</xdr:colOff>
      <xdr:row>25</xdr:row>
      <xdr:rowOff>10283</xdr:rowOff>
    </xdr:to>
    <xdr:graphicFrame macro="">
      <xdr:nvGraphicFramePr>
        <xdr:cNvPr id="8" name="Diagram 3">
          <a:extLst>
            <a:ext uri="{FF2B5EF4-FFF2-40B4-BE49-F238E27FC236}">
              <a16:creationId xmlns:a16="http://schemas.microsoft.com/office/drawing/2014/main" id="{E5E1E32E-5957-4ABD-BECE-80E559A81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571953</xdr:colOff>
      <xdr:row>32</xdr:row>
      <xdr:rowOff>127812</xdr:rowOff>
    </xdr:from>
    <xdr:to>
      <xdr:col>7</xdr:col>
      <xdr:colOff>609268</xdr:colOff>
      <xdr:row>56</xdr:row>
      <xdr:rowOff>100587</xdr:rowOff>
    </xdr:to>
    <xdr:graphicFrame macro="">
      <xdr:nvGraphicFramePr>
        <xdr:cNvPr id="4" name="Diagram 4">
          <a:extLst>
            <a:ext uri="{FF2B5EF4-FFF2-40B4-BE49-F238E27FC236}">
              <a16:creationId xmlns:a16="http://schemas.microsoft.com/office/drawing/2014/main" id="{32D40B3A-347B-445C-92AA-CC44BD02E1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801374</xdr:colOff>
      <xdr:row>53</xdr:row>
      <xdr:rowOff>74478</xdr:rowOff>
    </xdr:from>
    <xdr:to>
      <xdr:col>16</xdr:col>
      <xdr:colOff>0</xdr:colOff>
      <xdr:row>73</xdr:row>
      <xdr:rowOff>0</xdr:rowOff>
    </xdr:to>
    <xdr:graphicFrame macro="">
      <xdr:nvGraphicFramePr>
        <xdr:cNvPr id="45" name="Diagram 5">
          <a:extLst>
            <a:ext uri="{FF2B5EF4-FFF2-40B4-BE49-F238E27FC236}">
              <a16:creationId xmlns:a16="http://schemas.microsoft.com/office/drawing/2014/main" id="{5D5C9B2B-6302-4BED-B23F-733B119AB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0.28098</cdr:x>
      <cdr:y>0.88939</cdr:y>
    </cdr:from>
    <cdr:to>
      <cdr:x>0.81983</cdr:x>
      <cdr:y>0.94357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D21620F7-D4A2-465E-97E7-A6587AC7CA76}"/>
            </a:ext>
          </a:extLst>
        </cdr:cNvPr>
        <cdr:cNvSpPr txBox="1"/>
      </cdr:nvSpPr>
      <cdr:spPr>
        <a:xfrm xmlns:a="http://schemas.openxmlformats.org/drawingml/2006/main">
          <a:off x="2139042" y="5003800"/>
          <a:ext cx="4102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          19,9 Gt                               13,8 Gt                 2,5 Gt</a:t>
          </a:r>
        </a:p>
        <a:p xmlns:a="http://schemas.openxmlformats.org/drawingml/2006/main">
          <a:endParaRPr lang="en-GB" sz="140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globalcarbonproject.org/carbonbudget/18/highlight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F92ED-1BF9-044C-B3DD-D9DFC728B9D5}">
  <dimension ref="A4:S153"/>
  <sheetViews>
    <sheetView tabSelected="1" topLeftCell="A10" zoomScale="50" zoomScaleNormal="35" workbookViewId="0">
      <selection activeCell="R54" sqref="R54"/>
    </sheetView>
  </sheetViews>
  <sheetFormatPr baseColWidth="10" defaultColWidth="11" defaultRowHeight="15.5" x14ac:dyDescent="0.35"/>
  <cols>
    <col min="2" max="2" width="56" bestFit="1" customWidth="1"/>
    <col min="3" max="3" width="38.1640625" style="1" customWidth="1"/>
    <col min="4" max="4" width="24" style="3" customWidth="1"/>
    <col min="5" max="5" width="22" style="3" customWidth="1"/>
    <col min="6" max="6" width="23.5" style="3" customWidth="1"/>
    <col min="7" max="7" width="15.33203125" style="6" customWidth="1"/>
    <col min="8" max="8" width="39.1640625" bestFit="1" customWidth="1"/>
    <col min="9" max="9" width="22.6640625" bestFit="1" customWidth="1"/>
    <col min="10" max="10" width="11.1640625" bestFit="1" customWidth="1"/>
    <col min="11" max="11" width="43.6640625" customWidth="1"/>
    <col min="12" max="12" width="22.33203125" bestFit="1" customWidth="1"/>
    <col min="13" max="13" width="27.33203125" customWidth="1"/>
    <col min="14" max="14" width="32.6640625" bestFit="1" customWidth="1"/>
    <col min="15" max="15" width="21.33203125" bestFit="1" customWidth="1"/>
    <col min="16" max="16" width="22.5" customWidth="1"/>
    <col min="17" max="17" width="22.6640625" customWidth="1"/>
    <col min="18" max="18" width="26.5" customWidth="1"/>
    <col min="19" max="19" width="50.1640625" customWidth="1"/>
    <col min="20" max="20" width="18.6640625" bestFit="1" customWidth="1"/>
  </cols>
  <sheetData>
    <row r="4" spans="2:19" ht="18.5" x14ac:dyDescent="0.45">
      <c r="B4" s="30" t="s">
        <v>77</v>
      </c>
      <c r="C4" s="31" t="s">
        <v>78</v>
      </c>
      <c r="D4" s="32" t="s">
        <v>79</v>
      </c>
      <c r="E4" s="32" t="s">
        <v>80</v>
      </c>
      <c r="F4" s="33" t="s">
        <v>81</v>
      </c>
      <c r="G4" s="32" t="s">
        <v>0</v>
      </c>
      <c r="H4" s="34" t="s">
        <v>271</v>
      </c>
      <c r="I4" s="30" t="s">
        <v>82</v>
      </c>
      <c r="K4" s="57" t="s">
        <v>78</v>
      </c>
      <c r="L4" s="58" t="s">
        <v>87</v>
      </c>
      <c r="M4" s="58" t="s">
        <v>88</v>
      </c>
      <c r="N4" s="58" t="s">
        <v>89</v>
      </c>
      <c r="O4" s="58" t="s">
        <v>90</v>
      </c>
      <c r="P4" s="58" t="s">
        <v>270</v>
      </c>
      <c r="Q4" s="58" t="s">
        <v>91</v>
      </c>
      <c r="R4" s="58" t="s">
        <v>269</v>
      </c>
      <c r="S4" s="25" t="s">
        <v>107</v>
      </c>
    </row>
    <row r="5" spans="2:19" x14ac:dyDescent="0.35">
      <c r="B5" s="35" t="s">
        <v>54</v>
      </c>
      <c r="C5" s="36" t="s">
        <v>83</v>
      </c>
      <c r="D5" s="42">
        <v>2356170</v>
      </c>
      <c r="E5" s="37">
        <v>2017</v>
      </c>
      <c r="F5" s="38">
        <f t="shared" ref="F5:F36" si="0">IF(C5=$K$5,$L$5,IF(C5=$K$6,$L$6,IF(C5=$K$7,$L$7,IF(C5=$K$8,$L$8,IF(C5=$K$9,$L$9,IF(C5=$K$10,$L$10,IF(C5=$K$11,$L$11,IF(C5=$K$12,$L$12,IF(C5=$K$13,$L$13,IF(C5=$K$14,$L$14,"NA"))))))))))</f>
        <v>0.08</v>
      </c>
      <c r="G5" s="2" t="s">
        <v>84</v>
      </c>
      <c r="H5" s="40">
        <f t="shared" ref="H5:H36" si="1">IF(C5=$K$5,$M$5,IF(C5=$K$6,$M$6,IF(C5=$K$7,$M$7,IF(C5=$K$8,$M$8,IF(C5=$K$9,$M$9,IF(C5=$K$10,$M$10,IF(C5=$K$11,$M$11,IF(C5=$K$12,$M$12,IF(C5=$K$13,$M$13,IF(C5=$K$14,$M$14,IF(C5=$K$15,$M$15,IF(C5=$K$16,$M$16,"NA"))))))))))))</f>
        <v>956.56176000000016</v>
      </c>
      <c r="I5" s="41">
        <f>IF(ISNUMBER(H5),H5*D5,"NA")</f>
        <v>2253822122.0592003</v>
      </c>
      <c r="K5" s="35" t="s">
        <v>94</v>
      </c>
      <c r="L5" s="66">
        <v>0.06</v>
      </c>
      <c r="M5" s="67">
        <f>O116</f>
        <v>608.72112000000004</v>
      </c>
      <c r="N5" s="61">
        <f t="shared" ref="N5:N16" si="2">SUMIF($C$5:$C$147,K5,$D$5:$D$147)</f>
        <v>8958057</v>
      </c>
      <c r="O5" s="62">
        <f t="shared" ref="O5:O17" ca="1" si="3">N5/$N$18</f>
        <v>0.12111208255560674</v>
      </c>
      <c r="P5" s="63">
        <f t="shared" ref="P5:P17" si="4">N5*M5</f>
        <v>5452958490.0638399</v>
      </c>
      <c r="Q5" s="62">
        <v>0.85</v>
      </c>
      <c r="R5" s="64">
        <f t="shared" ref="R5:R17" si="5">P5*Q5</f>
        <v>4635014716.5542641</v>
      </c>
      <c r="S5" s="110" t="s">
        <v>239</v>
      </c>
    </row>
    <row r="6" spans="2:19" x14ac:dyDescent="0.35">
      <c r="B6" s="35" t="s">
        <v>50</v>
      </c>
      <c r="C6" s="36" t="s">
        <v>85</v>
      </c>
      <c r="D6" s="43">
        <v>2120996</v>
      </c>
      <c r="E6" s="39">
        <v>2018</v>
      </c>
      <c r="F6" s="38">
        <f t="shared" si="0"/>
        <v>0.2</v>
      </c>
      <c r="G6" s="4" t="s">
        <v>86</v>
      </c>
      <c r="H6" s="40">
        <f t="shared" si="1"/>
        <v>573</v>
      </c>
      <c r="I6" s="41">
        <f t="shared" ref="I6:I69" si="6">IF(ISNUMBER(H6),H6*D6,"NA")</f>
        <v>1215330708</v>
      </c>
      <c r="K6" s="35" t="s">
        <v>97</v>
      </c>
      <c r="L6" s="59">
        <v>0.21729999999999999</v>
      </c>
      <c r="M6" s="60">
        <v>589.78</v>
      </c>
      <c r="N6" s="61">
        <f t="shared" si="2"/>
        <v>5148554</v>
      </c>
      <c r="O6" s="62">
        <f t="shared" ca="1" si="3"/>
        <v>6.9607962651945535E-2</v>
      </c>
      <c r="P6" s="63">
        <f t="shared" si="4"/>
        <v>3036514178.1199999</v>
      </c>
      <c r="Q6" s="62">
        <v>0.9</v>
      </c>
      <c r="R6" s="64">
        <f t="shared" si="5"/>
        <v>2732862760.3080001</v>
      </c>
      <c r="S6" s="7" t="s">
        <v>281</v>
      </c>
    </row>
    <row r="7" spans="2:19" x14ac:dyDescent="0.35">
      <c r="B7" s="45" t="s">
        <v>1</v>
      </c>
      <c r="C7" s="48" t="s">
        <v>92</v>
      </c>
      <c r="D7" s="49">
        <v>2050000</v>
      </c>
      <c r="E7" s="50">
        <v>2016</v>
      </c>
      <c r="F7" s="51">
        <f t="shared" si="0"/>
        <v>0.22489999999999999</v>
      </c>
      <c r="G7" s="47" t="s">
        <v>93</v>
      </c>
      <c r="H7" s="53">
        <f t="shared" si="1"/>
        <v>906.79</v>
      </c>
      <c r="I7" s="54">
        <f t="shared" si="6"/>
        <v>1858919500</v>
      </c>
      <c r="K7" s="35" t="s">
        <v>92</v>
      </c>
      <c r="L7" s="59">
        <v>0.22489999999999999</v>
      </c>
      <c r="M7" s="60">
        <v>906.79</v>
      </c>
      <c r="N7" s="61">
        <f t="shared" si="2"/>
        <v>6059782</v>
      </c>
      <c r="O7" s="62">
        <f t="shared" ca="1" si="3"/>
        <v>8.1927678943433793E-2</v>
      </c>
      <c r="P7" s="63">
        <f t="shared" si="4"/>
        <v>5494949719.7799997</v>
      </c>
      <c r="Q7" s="62">
        <v>0.9</v>
      </c>
      <c r="R7" s="64">
        <f t="shared" si="5"/>
        <v>4945454747.802</v>
      </c>
      <c r="S7" s="56" t="s">
        <v>279</v>
      </c>
    </row>
    <row r="8" spans="2:19" x14ac:dyDescent="0.35">
      <c r="B8" s="35" t="s">
        <v>95</v>
      </c>
      <c r="C8" s="36" t="s">
        <v>96</v>
      </c>
      <c r="D8" s="43">
        <v>1743171</v>
      </c>
      <c r="E8" s="39">
        <v>2018</v>
      </c>
      <c r="F8" s="38">
        <f t="shared" si="0"/>
        <v>0.14000000000000001</v>
      </c>
      <c r="G8" s="4" t="s">
        <v>86</v>
      </c>
      <c r="H8" s="40">
        <f t="shared" si="1"/>
        <v>613.29343000000006</v>
      </c>
      <c r="I8" s="41">
        <f t="shared" si="6"/>
        <v>1069075321.6665301</v>
      </c>
      <c r="K8" s="35" t="s">
        <v>100</v>
      </c>
      <c r="L8" s="66">
        <v>0.13500000000000001</v>
      </c>
      <c r="M8" s="67">
        <f>O115</f>
        <v>328.51616000000007</v>
      </c>
      <c r="N8" s="61">
        <f t="shared" si="2"/>
        <v>2971223</v>
      </c>
      <c r="O8" s="62">
        <f t="shared" ca="1" si="3"/>
        <v>4.0170653665981083E-2</v>
      </c>
      <c r="P8" s="63">
        <f t="shared" si="4"/>
        <v>976094770.46368027</v>
      </c>
      <c r="Q8" s="62">
        <v>0.85</v>
      </c>
      <c r="R8" s="64">
        <f t="shared" si="5"/>
        <v>829680554.8941282</v>
      </c>
      <c r="S8" s="197" t="s">
        <v>280</v>
      </c>
    </row>
    <row r="9" spans="2:19" x14ac:dyDescent="0.35">
      <c r="B9" s="45" t="s">
        <v>98</v>
      </c>
      <c r="C9" s="48" t="s">
        <v>92</v>
      </c>
      <c r="D9" s="49">
        <v>1740412</v>
      </c>
      <c r="E9" s="52">
        <v>2018</v>
      </c>
      <c r="F9" s="51">
        <f t="shared" si="0"/>
        <v>0.22489999999999999</v>
      </c>
      <c r="G9" s="46" t="s">
        <v>86</v>
      </c>
      <c r="H9" s="53">
        <f t="shared" si="1"/>
        <v>906.79</v>
      </c>
      <c r="I9" s="54">
        <f t="shared" si="6"/>
        <v>1578188197.48</v>
      </c>
      <c r="K9" s="35" t="s">
        <v>83</v>
      </c>
      <c r="L9" s="66">
        <v>0.08</v>
      </c>
      <c r="M9" s="67">
        <f>O117</f>
        <v>956.56176000000016</v>
      </c>
      <c r="N9" s="61">
        <f t="shared" si="2"/>
        <v>5970656</v>
      </c>
      <c r="O9" s="62">
        <f t="shared" ca="1" si="3"/>
        <v>8.0722703861242306E-2</v>
      </c>
      <c r="P9" s="63">
        <f t="shared" si="4"/>
        <v>5711301211.7145605</v>
      </c>
      <c r="Q9" s="62">
        <v>0.4</v>
      </c>
      <c r="R9" s="64">
        <f t="shared" si="5"/>
        <v>2284520484.6858244</v>
      </c>
      <c r="S9" s="69" t="s">
        <v>110</v>
      </c>
    </row>
    <row r="10" spans="2:19" x14ac:dyDescent="0.35">
      <c r="B10" s="35" t="s">
        <v>99</v>
      </c>
      <c r="C10" s="36" t="s">
        <v>96</v>
      </c>
      <c r="D10" s="43">
        <v>1731348</v>
      </c>
      <c r="E10" s="39">
        <v>2018</v>
      </c>
      <c r="F10" s="38">
        <f t="shared" si="0"/>
        <v>0.14000000000000001</v>
      </c>
      <c r="G10" s="4" t="s">
        <v>86</v>
      </c>
      <c r="H10" s="40">
        <f t="shared" si="1"/>
        <v>613.29343000000006</v>
      </c>
      <c r="I10" s="41">
        <f t="shared" si="6"/>
        <v>1061824353.4436401</v>
      </c>
      <c r="K10" s="35" t="s">
        <v>102</v>
      </c>
      <c r="L10" s="59">
        <v>0.98839999999999995</v>
      </c>
      <c r="M10" s="60">
        <v>249.46</v>
      </c>
      <c r="N10" s="61">
        <f t="shared" si="2"/>
        <v>827000</v>
      </c>
      <c r="O10" s="62">
        <f t="shared" ca="1" si="3"/>
        <v>1.1180961705589368E-2</v>
      </c>
      <c r="P10" s="63">
        <f t="shared" si="4"/>
        <v>206303420</v>
      </c>
      <c r="Q10" s="62">
        <v>1</v>
      </c>
      <c r="R10" s="64">
        <f t="shared" si="5"/>
        <v>206303420</v>
      </c>
      <c r="S10" t="s">
        <v>112</v>
      </c>
    </row>
    <row r="11" spans="2:19" x14ac:dyDescent="0.35">
      <c r="B11" s="35" t="s">
        <v>66</v>
      </c>
      <c r="C11" s="36" t="s">
        <v>96</v>
      </c>
      <c r="D11" s="43">
        <v>1626005</v>
      </c>
      <c r="E11" s="39">
        <v>2018</v>
      </c>
      <c r="F11" s="38">
        <f t="shared" si="0"/>
        <v>0.14000000000000001</v>
      </c>
      <c r="G11" s="4" t="s">
        <v>86</v>
      </c>
      <c r="H11" s="40">
        <f t="shared" si="1"/>
        <v>613.29343000000006</v>
      </c>
      <c r="I11" s="41">
        <f t="shared" si="6"/>
        <v>997218183.64715004</v>
      </c>
      <c r="K11" s="35" t="s">
        <v>85</v>
      </c>
      <c r="L11" s="66">
        <v>0.2</v>
      </c>
      <c r="M11" s="68">
        <v>573</v>
      </c>
      <c r="N11" s="61">
        <f t="shared" si="2"/>
        <v>10066059</v>
      </c>
      <c r="O11" s="62">
        <f t="shared" ca="1" si="3"/>
        <v>0.14131520123928273</v>
      </c>
      <c r="P11" s="63">
        <f t="shared" si="4"/>
        <v>5767851807</v>
      </c>
      <c r="Q11" s="62">
        <v>0.85</v>
      </c>
      <c r="R11" s="64">
        <f t="shared" si="5"/>
        <v>4902674035.9499998</v>
      </c>
    </row>
    <row r="12" spans="2:19" x14ac:dyDescent="0.35">
      <c r="B12" s="35" t="s">
        <v>101</v>
      </c>
      <c r="C12" s="36" t="s">
        <v>83</v>
      </c>
      <c r="D12" s="43">
        <v>1625082</v>
      </c>
      <c r="E12" s="39">
        <v>2018</v>
      </c>
      <c r="F12" s="38">
        <f t="shared" si="0"/>
        <v>0.08</v>
      </c>
      <c r="G12" s="4" t="s">
        <v>86</v>
      </c>
      <c r="H12" s="40">
        <f t="shared" si="1"/>
        <v>956.56176000000016</v>
      </c>
      <c r="I12" s="41">
        <f t="shared" si="6"/>
        <v>1554491298.0643203</v>
      </c>
      <c r="K12" s="35" t="s">
        <v>103</v>
      </c>
      <c r="L12" s="66">
        <v>5.0000000000000001E-3</v>
      </c>
      <c r="M12" s="67">
        <f>O118</f>
        <v>724.66800000000023</v>
      </c>
      <c r="N12" s="61">
        <f t="shared" si="2"/>
        <v>1898783</v>
      </c>
      <c r="O12" s="62">
        <f t="shared" ca="1" si="3"/>
        <v>2.5671366396885241E-2</v>
      </c>
      <c r="P12" s="63">
        <f t="shared" si="4"/>
        <v>1375987279.0440004</v>
      </c>
      <c r="Q12" s="62">
        <v>0.85</v>
      </c>
      <c r="R12" s="64">
        <f t="shared" si="5"/>
        <v>1169589187.1874003</v>
      </c>
    </row>
    <row r="13" spans="2:19" x14ac:dyDescent="0.35">
      <c r="B13" s="45" t="s">
        <v>70</v>
      </c>
      <c r="C13" s="48" t="s">
        <v>97</v>
      </c>
      <c r="D13" s="49">
        <v>1462246</v>
      </c>
      <c r="E13" s="52">
        <v>2018</v>
      </c>
      <c r="F13" s="51">
        <f t="shared" si="0"/>
        <v>0.21729999999999999</v>
      </c>
      <c r="G13" s="46" t="s">
        <v>86</v>
      </c>
      <c r="H13" s="53">
        <f t="shared" si="1"/>
        <v>589.78</v>
      </c>
      <c r="I13" s="54">
        <f t="shared" si="6"/>
        <v>862403445.88</v>
      </c>
      <c r="K13" s="35" t="s">
        <v>104</v>
      </c>
      <c r="L13" s="66">
        <v>0.12</v>
      </c>
      <c r="M13" s="67">
        <f>O119</f>
        <v>608.72112000000004</v>
      </c>
      <c r="N13" s="61">
        <f t="shared" si="2"/>
        <v>1068836</v>
      </c>
      <c r="O13" s="62">
        <f t="shared" ca="1" si="3"/>
        <v>1.4450561530296635E-2</v>
      </c>
      <c r="P13" s="63">
        <f t="shared" si="4"/>
        <v>650623047.01631999</v>
      </c>
      <c r="Q13" s="62">
        <v>0.9</v>
      </c>
      <c r="R13" s="64">
        <f t="shared" si="5"/>
        <v>585560742.31468797</v>
      </c>
    </row>
    <row r="14" spans="2:19" x14ac:dyDescent="0.35">
      <c r="B14" s="35" t="s">
        <v>20</v>
      </c>
      <c r="C14" s="36" t="s">
        <v>94</v>
      </c>
      <c r="D14" s="43">
        <v>1380000</v>
      </c>
      <c r="E14" s="37">
        <v>2016</v>
      </c>
      <c r="F14" s="38">
        <f t="shared" si="0"/>
        <v>0.06</v>
      </c>
      <c r="G14" s="2" t="s">
        <v>93</v>
      </c>
      <c r="H14" s="40">
        <f t="shared" si="1"/>
        <v>608.72112000000004</v>
      </c>
      <c r="I14" s="41">
        <f t="shared" si="6"/>
        <v>840035145.60000002</v>
      </c>
      <c r="K14" s="35" t="s">
        <v>96</v>
      </c>
      <c r="L14" s="70">
        <v>0.14000000000000001</v>
      </c>
      <c r="M14" s="71">
        <f>71.09*P115</f>
        <v>613.29343000000006</v>
      </c>
      <c r="N14" s="61">
        <f t="shared" si="2"/>
        <v>23121029</v>
      </c>
      <c r="O14" s="62">
        <f t="shared" ca="1" si="3"/>
        <v>0.312594123147305</v>
      </c>
      <c r="P14" s="63">
        <f t="shared" si="4"/>
        <v>14179975180.539471</v>
      </c>
      <c r="Q14" s="62">
        <v>0.85</v>
      </c>
      <c r="R14" s="64">
        <f t="shared" si="5"/>
        <v>12052978903.458549</v>
      </c>
    </row>
    <row r="15" spans="2:19" x14ac:dyDescent="0.35">
      <c r="B15" s="35" t="s">
        <v>52</v>
      </c>
      <c r="C15" s="36" t="s">
        <v>96</v>
      </c>
      <c r="D15" s="43">
        <v>1294335</v>
      </c>
      <c r="E15" s="39">
        <v>2018</v>
      </c>
      <c r="F15" s="38">
        <f t="shared" si="0"/>
        <v>0.14000000000000001</v>
      </c>
      <c r="G15" s="4" t="s">
        <v>86</v>
      </c>
      <c r="H15" s="40">
        <f t="shared" si="1"/>
        <v>613.29343000000006</v>
      </c>
      <c r="I15" s="41">
        <f t="shared" si="6"/>
        <v>793807151.71905005</v>
      </c>
      <c r="K15" s="35" t="s">
        <v>105</v>
      </c>
      <c r="L15" s="70">
        <v>0.08</v>
      </c>
      <c r="M15" s="71">
        <f>33.18*P115</f>
        <v>286.24386000000004</v>
      </c>
      <c r="N15" s="61">
        <f t="shared" si="2"/>
        <v>1762058</v>
      </c>
      <c r="O15" s="62">
        <f t="shared" ca="1" si="3"/>
        <v>2.3822857341024656E-2</v>
      </c>
      <c r="P15" s="63">
        <f t="shared" si="4"/>
        <v>504378283.46388006</v>
      </c>
      <c r="Q15" s="62">
        <v>0.85</v>
      </c>
      <c r="R15" s="64">
        <f t="shared" si="5"/>
        <v>428721540.94429803</v>
      </c>
    </row>
    <row r="16" spans="2:19" x14ac:dyDescent="0.35">
      <c r="B16" s="35" t="s">
        <v>64</v>
      </c>
      <c r="C16" s="36" t="s">
        <v>96</v>
      </c>
      <c r="D16" s="43">
        <v>1292566</v>
      </c>
      <c r="E16" s="39">
        <v>2018</v>
      </c>
      <c r="F16" s="38">
        <f t="shared" si="0"/>
        <v>0.14000000000000001</v>
      </c>
      <c r="G16" s="4" t="s">
        <v>86</v>
      </c>
      <c r="H16" s="40">
        <f t="shared" si="1"/>
        <v>613.29343000000006</v>
      </c>
      <c r="I16" s="41">
        <f t="shared" si="6"/>
        <v>792722235.64138007</v>
      </c>
      <c r="K16" s="35" t="s">
        <v>106</v>
      </c>
      <c r="L16" s="65">
        <v>0.05</v>
      </c>
      <c r="M16" s="71">
        <f>49.77*P115</f>
        <v>429.36579000000006</v>
      </c>
      <c r="N16" s="61">
        <f t="shared" si="2"/>
        <v>4285128</v>
      </c>
      <c r="O16" s="62">
        <f t="shared" ca="1" si="3"/>
        <v>5.7934524874907807E-2</v>
      </c>
      <c r="P16" s="63">
        <f t="shared" si="4"/>
        <v>1839887368.9711204</v>
      </c>
      <c r="Q16" s="62">
        <v>0.9</v>
      </c>
      <c r="R16" s="64">
        <f t="shared" si="5"/>
        <v>1655898632.0740085</v>
      </c>
    </row>
    <row r="17" spans="2:18" x14ac:dyDescent="0.35">
      <c r="B17" s="35" t="s">
        <v>47</v>
      </c>
      <c r="C17" s="36" t="s">
        <v>96</v>
      </c>
      <c r="D17" s="43">
        <v>1279627</v>
      </c>
      <c r="E17" s="39">
        <v>2018</v>
      </c>
      <c r="F17" s="38">
        <f t="shared" si="0"/>
        <v>0.14000000000000001</v>
      </c>
      <c r="G17" s="4" t="s">
        <v>86</v>
      </c>
      <c r="H17" s="40">
        <f t="shared" si="1"/>
        <v>613.29343000000006</v>
      </c>
      <c r="I17" s="41">
        <f t="shared" si="6"/>
        <v>784786831.95061004</v>
      </c>
      <c r="K17" s="80" t="s">
        <v>236</v>
      </c>
      <c r="L17" s="73"/>
      <c r="M17" s="73"/>
      <c r="N17" s="81">
        <f>SUM(D54,D79,D118,D128,D144,D83)</f>
        <v>1441528</v>
      </c>
      <c r="O17" s="82">
        <f t="shared" ca="1" si="3"/>
        <v>1.948932208649919E-2</v>
      </c>
      <c r="P17" s="63">
        <f t="shared" si="4"/>
        <v>0</v>
      </c>
      <c r="Q17" s="62"/>
      <c r="R17" s="64">
        <f t="shared" si="5"/>
        <v>0</v>
      </c>
    </row>
    <row r="18" spans="2:18" x14ac:dyDescent="0.35">
      <c r="B18" s="35" t="s">
        <v>75</v>
      </c>
      <c r="C18" s="36" t="s">
        <v>100</v>
      </c>
      <c r="D18" s="43">
        <v>1272817</v>
      </c>
      <c r="E18" s="39">
        <v>2018</v>
      </c>
      <c r="F18" s="38">
        <f t="shared" si="0"/>
        <v>0.13500000000000001</v>
      </c>
      <c r="G18" s="4" t="s">
        <v>86</v>
      </c>
      <c r="H18" s="40">
        <f t="shared" si="1"/>
        <v>328.51616000000007</v>
      </c>
      <c r="I18" s="41">
        <f t="shared" si="6"/>
        <v>418140953.22272009</v>
      </c>
      <c r="K18" s="91" t="s">
        <v>195</v>
      </c>
      <c r="L18" s="73"/>
      <c r="M18" s="73"/>
      <c r="N18" s="77">
        <f ca="1">SUM(N5:N18)</f>
        <v>73965014.975999996</v>
      </c>
      <c r="O18" s="74">
        <f ca="1">SUM(O5:O18)</f>
        <v>1.0000000000000002</v>
      </c>
      <c r="P18" s="75">
        <f>SUM(P5:P13)</f>
        <v>28672583923.2024</v>
      </c>
      <c r="Q18" s="76"/>
      <c r="R18" s="75">
        <f>SUM(R5:R13)</f>
        <v>22291660649.696308</v>
      </c>
    </row>
    <row r="19" spans="2:18" x14ac:dyDescent="0.35">
      <c r="B19" s="35" t="s">
        <v>15</v>
      </c>
      <c r="C19" s="36" t="s">
        <v>94</v>
      </c>
      <c r="D19" s="43">
        <v>1210000</v>
      </c>
      <c r="E19" s="37">
        <v>2016</v>
      </c>
      <c r="F19" s="38">
        <f t="shared" si="0"/>
        <v>0.06</v>
      </c>
      <c r="G19" s="2" t="s">
        <v>93</v>
      </c>
      <c r="H19" s="40">
        <f t="shared" si="1"/>
        <v>608.72112000000004</v>
      </c>
      <c r="I19" s="41">
        <f t="shared" si="6"/>
        <v>736552555.20000005</v>
      </c>
    </row>
    <row r="20" spans="2:18" x14ac:dyDescent="0.35">
      <c r="B20" s="35" t="s">
        <v>46</v>
      </c>
      <c r="C20" s="36" t="s">
        <v>94</v>
      </c>
      <c r="D20" s="42">
        <v>1206000</v>
      </c>
      <c r="E20" s="37">
        <v>2017</v>
      </c>
      <c r="F20" s="38">
        <f t="shared" si="0"/>
        <v>0.06</v>
      </c>
      <c r="G20" s="2" t="s">
        <v>84</v>
      </c>
      <c r="H20" s="40">
        <f t="shared" si="1"/>
        <v>608.72112000000004</v>
      </c>
      <c r="I20" s="41">
        <f t="shared" si="6"/>
        <v>734117670.72000003</v>
      </c>
      <c r="K20" s="109" t="s">
        <v>239</v>
      </c>
      <c r="L20" s="88" t="s">
        <v>187</v>
      </c>
      <c r="M20" s="89" t="s">
        <v>88</v>
      </c>
      <c r="N20" s="88" t="s">
        <v>188</v>
      </c>
      <c r="O20" s="88" t="s">
        <v>189</v>
      </c>
      <c r="P20" s="88" t="s">
        <v>190</v>
      </c>
      <c r="Q20" s="88" t="s">
        <v>191</v>
      </c>
    </row>
    <row r="21" spans="2:18" x14ac:dyDescent="0.35">
      <c r="B21" s="35" t="s">
        <v>67</v>
      </c>
      <c r="C21" s="36" t="s">
        <v>96</v>
      </c>
      <c r="D21" s="43">
        <v>1162824</v>
      </c>
      <c r="E21" s="39">
        <v>2018</v>
      </c>
      <c r="F21" s="38">
        <f t="shared" si="0"/>
        <v>0.14000000000000001</v>
      </c>
      <c r="G21" s="4" t="s">
        <v>86</v>
      </c>
      <c r="H21" s="40">
        <f t="shared" si="1"/>
        <v>613.29343000000006</v>
      </c>
      <c r="I21" s="41">
        <f t="shared" si="6"/>
        <v>713152319.44632006</v>
      </c>
      <c r="K21" s="92" t="s">
        <v>192</v>
      </c>
      <c r="L21" s="86">
        <f>I7+I9+I32</f>
        <v>4232997280.48</v>
      </c>
      <c r="M21" s="90">
        <f>L21/(D7+D9+D32)</f>
        <v>906.79</v>
      </c>
      <c r="N21" s="94">
        <f>D7+D9+D32</f>
        <v>4668112</v>
      </c>
      <c r="O21" s="96">
        <f>P21*N21</f>
        <v>4201300.8</v>
      </c>
      <c r="P21" s="72">
        <v>0.9</v>
      </c>
      <c r="Q21" s="104">
        <f>O21*M7</f>
        <v>3809697552.4319997</v>
      </c>
    </row>
    <row r="22" spans="2:18" x14ac:dyDescent="0.35">
      <c r="B22" s="35" t="s">
        <v>28</v>
      </c>
      <c r="C22" s="36" t="s">
        <v>94</v>
      </c>
      <c r="D22" s="43">
        <v>1160000</v>
      </c>
      <c r="E22" s="37">
        <v>2016</v>
      </c>
      <c r="F22" s="38">
        <f t="shared" si="0"/>
        <v>0.06</v>
      </c>
      <c r="G22" s="2" t="s">
        <v>93</v>
      </c>
      <c r="H22" s="40">
        <f t="shared" si="1"/>
        <v>608.72112000000004</v>
      </c>
      <c r="I22" s="41">
        <f t="shared" si="6"/>
        <v>706116499.20000005</v>
      </c>
      <c r="K22" s="92" t="s">
        <v>193</v>
      </c>
      <c r="L22" s="86">
        <f>I13+I25</f>
        <v>1486390685.8800001</v>
      </c>
      <c r="M22" s="90">
        <f>L22/(D13+D25)</f>
        <v>589.78000000000009</v>
      </c>
      <c r="N22" s="94">
        <f>D13+D25</f>
        <v>2520246</v>
      </c>
      <c r="O22" s="97">
        <f>P22*N22</f>
        <v>2268221.4</v>
      </c>
      <c r="P22" s="72">
        <v>0.9</v>
      </c>
      <c r="Q22" s="104">
        <f>O22*M6</f>
        <v>1337751617.2919998</v>
      </c>
    </row>
    <row r="23" spans="2:18" x14ac:dyDescent="0.35">
      <c r="B23" s="35" t="s">
        <v>108</v>
      </c>
      <c r="C23" s="36" t="s">
        <v>96</v>
      </c>
      <c r="D23" s="43">
        <v>1131211</v>
      </c>
      <c r="E23" s="39">
        <v>2018</v>
      </c>
      <c r="F23" s="38">
        <f t="shared" si="0"/>
        <v>0.14000000000000001</v>
      </c>
      <c r="G23" s="4" t="s">
        <v>86</v>
      </c>
      <c r="H23" s="40">
        <f t="shared" si="1"/>
        <v>613.29343000000006</v>
      </c>
      <c r="I23" s="41">
        <f t="shared" si="6"/>
        <v>693764274.24373007</v>
      </c>
      <c r="K23" s="92" t="s">
        <v>194</v>
      </c>
      <c r="L23" s="86">
        <f>I53</f>
        <v>206303420</v>
      </c>
      <c r="M23" s="90">
        <f>L23/827000</f>
        <v>249.46</v>
      </c>
      <c r="N23" s="94">
        <f>D53</f>
        <v>827000</v>
      </c>
      <c r="O23" s="97">
        <f>P23*N23</f>
        <v>827000</v>
      </c>
      <c r="P23" s="72">
        <v>1</v>
      </c>
      <c r="Q23" s="104">
        <f>O23*M23</f>
        <v>206303420</v>
      </c>
    </row>
    <row r="24" spans="2:18" x14ac:dyDescent="0.35">
      <c r="B24" s="35" t="s">
        <v>34</v>
      </c>
      <c r="C24" s="36" t="s">
        <v>94</v>
      </c>
      <c r="D24" s="43">
        <v>1110000</v>
      </c>
      <c r="E24" s="37">
        <v>2016</v>
      </c>
      <c r="F24" s="38">
        <f t="shared" si="0"/>
        <v>0.06</v>
      </c>
      <c r="G24" s="2" t="s">
        <v>93</v>
      </c>
      <c r="H24" s="40">
        <f t="shared" si="1"/>
        <v>608.72112000000004</v>
      </c>
      <c r="I24" s="41">
        <f t="shared" si="6"/>
        <v>675680443.20000005</v>
      </c>
      <c r="K24" s="93" t="s">
        <v>195</v>
      </c>
      <c r="L24" s="87">
        <f>SUM(L21:L23)</f>
        <v>5925691386.3600006</v>
      </c>
      <c r="M24" s="85"/>
      <c r="N24" s="95">
        <f>SUM(N21:N23)</f>
        <v>8015358</v>
      </c>
      <c r="O24" s="98">
        <f>SUM(O21:O23)</f>
        <v>7296522.1999999993</v>
      </c>
      <c r="P24" s="99"/>
      <c r="Q24" s="105">
        <f>SUM(Q21:Q23)</f>
        <v>5353752589.723999</v>
      </c>
    </row>
    <row r="25" spans="2:18" x14ac:dyDescent="0.35">
      <c r="B25" s="45" t="s">
        <v>69</v>
      </c>
      <c r="C25" s="48" t="s">
        <v>97</v>
      </c>
      <c r="D25" s="49">
        <v>1058000</v>
      </c>
      <c r="E25" s="52">
        <v>2018</v>
      </c>
      <c r="F25" s="51">
        <f t="shared" si="0"/>
        <v>0.21729999999999999</v>
      </c>
      <c r="G25" s="46" t="s">
        <v>86</v>
      </c>
      <c r="H25" s="53">
        <f t="shared" si="1"/>
        <v>589.78</v>
      </c>
      <c r="I25" s="54">
        <f t="shared" si="6"/>
        <v>623987240</v>
      </c>
      <c r="K25" s="83"/>
      <c r="L25" s="102"/>
    </row>
    <row r="26" spans="2:18" x14ac:dyDescent="0.35">
      <c r="B26" s="35" t="s">
        <v>109</v>
      </c>
      <c r="C26" s="36" t="s">
        <v>96</v>
      </c>
      <c r="D26" s="43">
        <v>1031011</v>
      </c>
      <c r="E26" s="39">
        <v>2018</v>
      </c>
      <c r="F26" s="38">
        <f t="shared" si="0"/>
        <v>0.14000000000000001</v>
      </c>
      <c r="G26" s="4" t="s">
        <v>86</v>
      </c>
      <c r="H26" s="40">
        <f t="shared" si="1"/>
        <v>613.29343000000006</v>
      </c>
      <c r="I26" s="41">
        <f t="shared" si="6"/>
        <v>632312272.55773008</v>
      </c>
      <c r="K26" s="83"/>
      <c r="L26" s="102"/>
    </row>
    <row r="27" spans="2:18" x14ac:dyDescent="0.35">
      <c r="B27" s="35" t="s">
        <v>111</v>
      </c>
      <c r="C27" s="36" t="s">
        <v>96</v>
      </c>
      <c r="D27" s="43">
        <v>1025739</v>
      </c>
      <c r="E27" s="39">
        <v>2018</v>
      </c>
      <c r="F27" s="38">
        <f t="shared" si="0"/>
        <v>0.14000000000000001</v>
      </c>
      <c r="G27" s="4" t="s">
        <v>86</v>
      </c>
      <c r="H27" s="40">
        <f t="shared" si="1"/>
        <v>613.29343000000006</v>
      </c>
      <c r="I27" s="41">
        <f t="shared" si="6"/>
        <v>629078989.59477007</v>
      </c>
      <c r="K27" s="83"/>
      <c r="L27" s="102"/>
    </row>
    <row r="28" spans="2:18" x14ac:dyDescent="0.35">
      <c r="B28" s="35" t="s">
        <v>113</v>
      </c>
      <c r="C28" s="36" t="s">
        <v>96</v>
      </c>
      <c r="D28" s="43">
        <v>998544</v>
      </c>
      <c r="E28" s="39">
        <v>2018</v>
      </c>
      <c r="F28" s="38">
        <f t="shared" si="0"/>
        <v>0.14000000000000001</v>
      </c>
      <c r="G28" s="4" t="s">
        <v>86</v>
      </c>
      <c r="H28" s="40">
        <f t="shared" si="1"/>
        <v>613.29343000000006</v>
      </c>
      <c r="I28" s="41">
        <f t="shared" si="6"/>
        <v>612400474.76592004</v>
      </c>
    </row>
    <row r="29" spans="2:18" x14ac:dyDescent="0.35">
      <c r="B29" s="35" t="s">
        <v>30</v>
      </c>
      <c r="C29" s="36" t="s">
        <v>94</v>
      </c>
      <c r="D29" s="42">
        <v>997360</v>
      </c>
      <c r="E29" s="37">
        <v>2017</v>
      </c>
      <c r="F29" s="38">
        <f t="shared" si="0"/>
        <v>0.06</v>
      </c>
      <c r="G29" s="2" t="s">
        <v>84</v>
      </c>
      <c r="H29" s="40">
        <f t="shared" si="1"/>
        <v>608.72112000000004</v>
      </c>
      <c r="I29" s="41">
        <f t="shared" si="6"/>
        <v>607114096.24320006</v>
      </c>
    </row>
    <row r="30" spans="2:18" x14ac:dyDescent="0.35">
      <c r="B30" s="35" t="s">
        <v>16</v>
      </c>
      <c r="C30" s="36" t="s">
        <v>100</v>
      </c>
      <c r="D30" s="43">
        <v>953000</v>
      </c>
      <c r="E30" s="37">
        <v>2016</v>
      </c>
      <c r="F30" s="38">
        <f t="shared" si="0"/>
        <v>0.13500000000000001</v>
      </c>
      <c r="G30" s="2" t="s">
        <v>93</v>
      </c>
      <c r="H30" s="40">
        <f t="shared" si="1"/>
        <v>328.51616000000007</v>
      </c>
      <c r="I30" s="41">
        <f t="shared" si="6"/>
        <v>313075900.48000008</v>
      </c>
    </row>
    <row r="31" spans="2:18" x14ac:dyDescent="0.35">
      <c r="B31" s="35" t="s">
        <v>44</v>
      </c>
      <c r="C31" s="36" t="s">
        <v>96</v>
      </c>
      <c r="D31" s="43">
        <v>901366</v>
      </c>
      <c r="E31" s="39">
        <v>2018</v>
      </c>
      <c r="F31" s="38">
        <f t="shared" si="0"/>
        <v>0.14000000000000001</v>
      </c>
      <c r="G31" s="4" t="s">
        <v>86</v>
      </c>
      <c r="H31" s="40">
        <f t="shared" si="1"/>
        <v>613.29343000000006</v>
      </c>
      <c r="I31" s="41">
        <f t="shared" si="6"/>
        <v>552801845.82538009</v>
      </c>
    </row>
    <row r="32" spans="2:18" x14ac:dyDescent="0.35">
      <c r="B32" s="45" t="s">
        <v>276</v>
      </c>
      <c r="C32" s="48" t="s">
        <v>92</v>
      </c>
      <c r="D32" s="55">
        <f>IF(B32="Norcem Brevik, total",M92,M93)</f>
        <v>877700</v>
      </c>
      <c r="E32" s="50">
        <v>2017</v>
      </c>
      <c r="F32" s="51">
        <f t="shared" si="0"/>
        <v>0.22489999999999999</v>
      </c>
      <c r="G32" s="47" t="s">
        <v>84</v>
      </c>
      <c r="H32" s="53">
        <f t="shared" si="1"/>
        <v>906.79</v>
      </c>
      <c r="I32" s="54">
        <f t="shared" si="6"/>
        <v>795889583</v>
      </c>
    </row>
    <row r="33" spans="2:16" x14ac:dyDescent="0.35">
      <c r="B33" s="35" t="s">
        <v>114</v>
      </c>
      <c r="C33" s="36" t="s">
        <v>96</v>
      </c>
      <c r="D33" s="43">
        <v>813900</v>
      </c>
      <c r="E33" s="39">
        <v>2018</v>
      </c>
      <c r="F33" s="38">
        <f t="shared" si="0"/>
        <v>0.14000000000000001</v>
      </c>
      <c r="G33" s="4" t="s">
        <v>86</v>
      </c>
      <c r="H33" s="40">
        <f t="shared" si="1"/>
        <v>613.29343000000006</v>
      </c>
      <c r="I33" s="41">
        <f t="shared" si="6"/>
        <v>499159522.67700005</v>
      </c>
    </row>
    <row r="34" spans="2:16" x14ac:dyDescent="0.35">
      <c r="B34" s="35" t="s">
        <v>3</v>
      </c>
      <c r="C34" s="36" t="s">
        <v>96</v>
      </c>
      <c r="D34" s="43">
        <v>812407</v>
      </c>
      <c r="E34" s="39">
        <v>2018</v>
      </c>
      <c r="F34" s="38">
        <f t="shared" si="0"/>
        <v>0.14000000000000001</v>
      </c>
      <c r="G34" s="4" t="s">
        <v>86</v>
      </c>
      <c r="H34" s="40">
        <f t="shared" si="1"/>
        <v>613.29343000000006</v>
      </c>
      <c r="I34" s="41">
        <f t="shared" si="6"/>
        <v>498243875.58601004</v>
      </c>
    </row>
    <row r="35" spans="2:16" x14ac:dyDescent="0.35">
      <c r="B35" s="35" t="s">
        <v>31</v>
      </c>
      <c r="C35" s="36" t="s">
        <v>85</v>
      </c>
      <c r="D35" s="43">
        <v>775467</v>
      </c>
      <c r="E35" s="39">
        <v>2018</v>
      </c>
      <c r="F35" s="38">
        <f t="shared" si="0"/>
        <v>0.2</v>
      </c>
      <c r="G35" s="4" t="s">
        <v>86</v>
      </c>
      <c r="H35" s="40">
        <f t="shared" si="1"/>
        <v>573</v>
      </c>
      <c r="I35" s="41">
        <f t="shared" si="6"/>
        <v>444342591</v>
      </c>
    </row>
    <row r="36" spans="2:16" x14ac:dyDescent="0.35">
      <c r="B36" s="35" t="s">
        <v>115</v>
      </c>
      <c r="C36" s="36" t="s">
        <v>100</v>
      </c>
      <c r="D36" s="43">
        <v>745406</v>
      </c>
      <c r="E36" s="39">
        <v>2018</v>
      </c>
      <c r="F36" s="38">
        <f t="shared" si="0"/>
        <v>0.13500000000000001</v>
      </c>
      <c r="G36" s="4" t="s">
        <v>86</v>
      </c>
      <c r="H36" s="40">
        <f t="shared" si="1"/>
        <v>328.51616000000007</v>
      </c>
      <c r="I36" s="41">
        <f t="shared" si="6"/>
        <v>244877916.76096004</v>
      </c>
      <c r="K36" s="35"/>
      <c r="L36" s="84" t="s">
        <v>84</v>
      </c>
    </row>
    <row r="37" spans="2:16" x14ac:dyDescent="0.35">
      <c r="B37" s="35" t="s">
        <v>35</v>
      </c>
      <c r="C37" s="36" t="s">
        <v>85</v>
      </c>
      <c r="D37" s="43">
        <v>701542</v>
      </c>
      <c r="E37" s="39">
        <v>2018</v>
      </c>
      <c r="F37" s="38">
        <f t="shared" ref="F37:F68" si="7">IF(C37=$K$5,$L$5,IF(C37=$K$6,$L$6,IF(C37=$K$7,$L$7,IF(C37=$K$8,$L$8,IF(C37=$K$9,$L$9,IF(C37=$K$10,$L$10,IF(C37=$K$11,$L$11,IF(C37=$K$12,$L$12,IF(C37=$K$13,$L$13,IF(C37=$K$14,$L$14,"NA"))))))))))</f>
        <v>0.2</v>
      </c>
      <c r="G37" s="4" t="s">
        <v>86</v>
      </c>
      <c r="H37" s="40">
        <f t="shared" ref="H37:H68" si="8">IF(C37=$K$5,$M$5,IF(C37=$K$6,$M$6,IF(C37=$K$7,$M$7,IF(C37=$K$8,$M$8,IF(C37=$K$9,$M$9,IF(C37=$K$10,$M$10,IF(C37=$K$11,$M$11,IF(C37=$K$12,$M$12,IF(C37=$K$13,$M$13,IF(C37=$K$14,$M$14,IF(C37=$K$15,$M$15,IF(C37=$K$16,$M$16,"NA"))))))))))))</f>
        <v>573</v>
      </c>
      <c r="I37" s="41">
        <f t="shared" si="6"/>
        <v>401983566</v>
      </c>
      <c r="K37" s="35" t="s">
        <v>238</v>
      </c>
      <c r="L37" s="100">
        <f>0.83*52700000</f>
        <v>43741000</v>
      </c>
    </row>
    <row r="38" spans="2:16" x14ac:dyDescent="0.35">
      <c r="B38" s="35" t="s">
        <v>121</v>
      </c>
      <c r="C38" s="36" t="s">
        <v>96</v>
      </c>
      <c r="D38" s="43">
        <v>693660</v>
      </c>
      <c r="E38" s="39">
        <v>2018</v>
      </c>
      <c r="F38" s="38">
        <f t="shared" si="7"/>
        <v>0.14000000000000001</v>
      </c>
      <c r="G38" s="4" t="s">
        <v>86</v>
      </c>
      <c r="H38" s="40">
        <f t="shared" si="8"/>
        <v>613.29343000000006</v>
      </c>
      <c r="I38" s="41">
        <f t="shared" si="6"/>
        <v>425417120.65380001</v>
      </c>
      <c r="K38" s="35" t="s">
        <v>241</v>
      </c>
      <c r="L38" s="100">
        <f>SUMIF(G5:G145,"Norway",D5:D145)</f>
        <v>13226380</v>
      </c>
    </row>
    <row r="39" spans="2:16" x14ac:dyDescent="0.35">
      <c r="B39" s="35" t="s">
        <v>61</v>
      </c>
      <c r="C39" s="36" t="s">
        <v>96</v>
      </c>
      <c r="D39" s="43">
        <v>692045</v>
      </c>
      <c r="E39" s="39">
        <v>2018</v>
      </c>
      <c r="F39" s="38">
        <f t="shared" si="7"/>
        <v>0.14000000000000001</v>
      </c>
      <c r="G39" s="4" t="s">
        <v>86</v>
      </c>
      <c r="H39" s="40">
        <f t="shared" si="8"/>
        <v>613.29343000000006</v>
      </c>
      <c r="I39" s="41">
        <f t="shared" si="6"/>
        <v>424426651.76435006</v>
      </c>
      <c r="K39" s="35" t="s">
        <v>240</v>
      </c>
      <c r="L39" s="100">
        <f>D32*P21+D53*P22</f>
        <v>1534230</v>
      </c>
    </row>
    <row r="40" spans="2:16" x14ac:dyDescent="0.35">
      <c r="B40" s="35" t="s">
        <v>39</v>
      </c>
      <c r="C40" s="36" t="s">
        <v>103</v>
      </c>
      <c r="D40" s="42">
        <v>659800</v>
      </c>
      <c r="E40" s="37">
        <v>2017</v>
      </c>
      <c r="F40" s="38">
        <f t="shared" si="7"/>
        <v>5.0000000000000001E-3</v>
      </c>
      <c r="G40" s="2" t="s">
        <v>84</v>
      </c>
      <c r="H40" s="40">
        <f t="shared" si="8"/>
        <v>724.66800000000023</v>
      </c>
      <c r="I40" s="41">
        <f t="shared" si="6"/>
        <v>478135946.40000015</v>
      </c>
      <c r="K40" s="35" t="s">
        <v>242</v>
      </c>
      <c r="L40" s="101">
        <f>L39/L37</f>
        <v>3.5075329782126609E-2</v>
      </c>
    </row>
    <row r="41" spans="2:16" x14ac:dyDescent="0.35">
      <c r="B41" s="35" t="s">
        <v>43</v>
      </c>
      <c r="C41" s="36" t="s">
        <v>106</v>
      </c>
      <c r="D41" s="43">
        <v>662654</v>
      </c>
      <c r="E41" s="39">
        <v>2018</v>
      </c>
      <c r="F41" s="38" t="str">
        <f t="shared" si="7"/>
        <v>NA</v>
      </c>
      <c r="G41" s="4" t="s">
        <v>86</v>
      </c>
      <c r="H41" s="40">
        <f t="shared" si="8"/>
        <v>429.36579000000006</v>
      </c>
      <c r="I41" s="41">
        <f t="shared" si="6"/>
        <v>284520958.20666003</v>
      </c>
      <c r="K41" s="35" t="s">
        <v>243</v>
      </c>
      <c r="L41" s="101">
        <f>L39/L38</f>
        <v>0.11599772575716107</v>
      </c>
    </row>
    <row r="42" spans="2:16" x14ac:dyDescent="0.35">
      <c r="B42" s="35" t="s">
        <v>53</v>
      </c>
      <c r="C42" s="36" t="s">
        <v>96</v>
      </c>
      <c r="D42" s="43">
        <v>668822</v>
      </c>
      <c r="E42" s="39">
        <v>2018</v>
      </c>
      <c r="F42" s="38">
        <f t="shared" si="7"/>
        <v>0.14000000000000001</v>
      </c>
      <c r="G42" s="4" t="s">
        <v>86</v>
      </c>
      <c r="H42" s="40">
        <f t="shared" si="8"/>
        <v>613.29343000000006</v>
      </c>
      <c r="I42" s="41">
        <f t="shared" si="6"/>
        <v>410184138.43946004</v>
      </c>
    </row>
    <row r="43" spans="2:16" x14ac:dyDescent="0.35">
      <c r="B43" s="35" t="s">
        <v>124</v>
      </c>
      <c r="C43" s="36" t="s">
        <v>104</v>
      </c>
      <c r="D43" s="43">
        <v>636536</v>
      </c>
      <c r="E43" s="39">
        <v>2018</v>
      </c>
      <c r="F43" s="38">
        <f t="shared" si="7"/>
        <v>0.12</v>
      </c>
      <c r="G43" s="4" t="s">
        <v>86</v>
      </c>
      <c r="H43" s="40">
        <f t="shared" si="8"/>
        <v>608.72112000000004</v>
      </c>
      <c r="I43" s="41">
        <f t="shared" si="6"/>
        <v>387472906.84032005</v>
      </c>
    </row>
    <row r="44" spans="2:16" x14ac:dyDescent="0.35">
      <c r="B44" s="35" t="s">
        <v>74</v>
      </c>
      <c r="C44" s="36" t="s">
        <v>96</v>
      </c>
      <c r="D44" s="43">
        <v>626405</v>
      </c>
      <c r="E44" s="39">
        <v>2018</v>
      </c>
      <c r="F44" s="38">
        <f t="shared" si="7"/>
        <v>0.14000000000000001</v>
      </c>
      <c r="G44" s="4" t="s">
        <v>86</v>
      </c>
      <c r="H44" s="40">
        <f t="shared" si="8"/>
        <v>613.29343000000006</v>
      </c>
      <c r="I44" s="41">
        <f t="shared" si="6"/>
        <v>384170071.01915002</v>
      </c>
      <c r="K44" s="106" t="s">
        <v>246</v>
      </c>
      <c r="L44" s="84" t="s">
        <v>272</v>
      </c>
      <c r="M44" s="84" t="s">
        <v>247</v>
      </c>
    </row>
    <row r="45" spans="2:16" x14ac:dyDescent="0.35">
      <c r="B45" s="35" t="s">
        <v>18</v>
      </c>
      <c r="C45" s="36" t="s">
        <v>94</v>
      </c>
      <c r="D45" s="43">
        <v>594000</v>
      </c>
      <c r="E45" s="37">
        <v>2016</v>
      </c>
      <c r="F45" s="38">
        <f t="shared" si="7"/>
        <v>0.06</v>
      </c>
      <c r="G45" s="2" t="s">
        <v>93</v>
      </c>
      <c r="H45" s="40">
        <f t="shared" si="8"/>
        <v>608.72112000000004</v>
      </c>
      <c r="I45" s="41">
        <f t="shared" si="6"/>
        <v>361580345.28000003</v>
      </c>
      <c r="K45" s="35" t="s">
        <v>244</v>
      </c>
      <c r="L45" s="72">
        <v>0.7</v>
      </c>
      <c r="M45" s="107">
        <f>Q24*L45</f>
        <v>3747626812.8067989</v>
      </c>
    </row>
    <row r="46" spans="2:16" x14ac:dyDescent="0.35">
      <c r="B46" s="35" t="s">
        <v>125</v>
      </c>
      <c r="C46" s="36" t="s">
        <v>85</v>
      </c>
      <c r="D46" s="43">
        <v>568356</v>
      </c>
      <c r="E46" s="39">
        <v>2018</v>
      </c>
      <c r="F46" s="38">
        <f t="shared" si="7"/>
        <v>0.2</v>
      </c>
      <c r="G46" s="4" t="s">
        <v>86</v>
      </c>
      <c r="H46" s="40">
        <f t="shared" si="8"/>
        <v>573</v>
      </c>
      <c r="I46" s="41">
        <f t="shared" si="6"/>
        <v>325667988</v>
      </c>
      <c r="K46" s="35" t="s">
        <v>245</v>
      </c>
      <c r="L46" s="72">
        <v>0.3</v>
      </c>
      <c r="M46" s="107">
        <f>Q24*L46</f>
        <v>1606125776.9171996</v>
      </c>
    </row>
    <row r="47" spans="2:16" x14ac:dyDescent="0.35">
      <c r="B47" s="35" t="s">
        <v>126</v>
      </c>
      <c r="C47" s="36" t="s">
        <v>96</v>
      </c>
      <c r="D47" s="43">
        <v>549709</v>
      </c>
      <c r="E47" s="39">
        <v>2018</v>
      </c>
      <c r="F47" s="38">
        <f t="shared" si="7"/>
        <v>0.14000000000000001</v>
      </c>
      <c r="G47" s="4" t="s">
        <v>86</v>
      </c>
      <c r="H47" s="40">
        <f t="shared" si="8"/>
        <v>613.29343000000006</v>
      </c>
      <c r="I47" s="41">
        <f t="shared" si="6"/>
        <v>337132918.11187005</v>
      </c>
      <c r="M47" s="108">
        <f>SUM(M45:M46)</f>
        <v>5353752589.723999</v>
      </c>
      <c r="P47" s="18"/>
    </row>
    <row r="48" spans="2:16" x14ac:dyDescent="0.35">
      <c r="B48" s="35" t="s">
        <v>127</v>
      </c>
      <c r="C48" s="36" t="s">
        <v>85</v>
      </c>
      <c r="D48" s="43">
        <v>559600</v>
      </c>
      <c r="E48" s="39">
        <v>2018</v>
      </c>
      <c r="F48" s="38">
        <f t="shared" si="7"/>
        <v>0.2</v>
      </c>
      <c r="G48" s="4" t="s">
        <v>86</v>
      </c>
      <c r="H48" s="40">
        <f t="shared" si="8"/>
        <v>573</v>
      </c>
      <c r="I48" s="41">
        <f t="shared" si="6"/>
        <v>320650800</v>
      </c>
    </row>
    <row r="49" spans="1:11" x14ac:dyDescent="0.35">
      <c r="B49" s="35" t="s">
        <v>8</v>
      </c>
      <c r="C49" s="36" t="s">
        <v>96</v>
      </c>
      <c r="D49" s="43">
        <v>561135</v>
      </c>
      <c r="E49" s="39">
        <v>2018</v>
      </c>
      <c r="F49" s="38">
        <f t="shared" si="7"/>
        <v>0.14000000000000001</v>
      </c>
      <c r="G49" s="4" t="s">
        <v>86</v>
      </c>
      <c r="H49" s="40">
        <f t="shared" si="8"/>
        <v>613.29343000000006</v>
      </c>
      <c r="I49" s="41">
        <f t="shared" si="6"/>
        <v>344140408.84305</v>
      </c>
    </row>
    <row r="50" spans="1:11" x14ac:dyDescent="0.35">
      <c r="B50" s="35" t="s">
        <v>130</v>
      </c>
      <c r="C50" s="36" t="s">
        <v>83</v>
      </c>
      <c r="D50" s="43">
        <v>546829</v>
      </c>
      <c r="E50" s="39">
        <v>2018</v>
      </c>
      <c r="F50" s="38">
        <f t="shared" si="7"/>
        <v>0.08</v>
      </c>
      <c r="G50" s="4" t="s">
        <v>86</v>
      </c>
      <c r="H50" s="40">
        <f t="shared" si="8"/>
        <v>956.56176000000016</v>
      </c>
      <c r="I50" s="41">
        <f t="shared" si="6"/>
        <v>523075710.65904009</v>
      </c>
    </row>
    <row r="51" spans="1:11" x14ac:dyDescent="0.35">
      <c r="B51" s="35" t="s">
        <v>132</v>
      </c>
      <c r="C51" s="36" t="s">
        <v>85</v>
      </c>
      <c r="D51" s="43">
        <v>519291</v>
      </c>
      <c r="E51" s="39">
        <v>2018</v>
      </c>
      <c r="F51" s="38">
        <f t="shared" si="7"/>
        <v>0.2</v>
      </c>
      <c r="G51" s="4" t="s">
        <v>86</v>
      </c>
      <c r="H51" s="40">
        <f t="shared" si="8"/>
        <v>573</v>
      </c>
      <c r="I51" s="41">
        <f t="shared" si="6"/>
        <v>297553743</v>
      </c>
    </row>
    <row r="52" spans="1:11" x14ac:dyDescent="0.35">
      <c r="B52" s="35" t="s">
        <v>62</v>
      </c>
      <c r="C52" s="36" t="s">
        <v>96</v>
      </c>
      <c r="D52" s="43">
        <v>482705</v>
      </c>
      <c r="E52" s="39">
        <v>2018</v>
      </c>
      <c r="F52" s="38">
        <f t="shared" si="7"/>
        <v>0.14000000000000001</v>
      </c>
      <c r="G52" s="4" t="s">
        <v>86</v>
      </c>
      <c r="H52" s="40">
        <f t="shared" si="8"/>
        <v>613.29343000000006</v>
      </c>
      <c r="I52" s="41">
        <f t="shared" si="6"/>
        <v>296039805.12815005</v>
      </c>
    </row>
    <row r="53" spans="1:11" x14ac:dyDescent="0.35">
      <c r="A53" t="s">
        <v>134</v>
      </c>
      <c r="B53" s="45" t="s">
        <v>128</v>
      </c>
      <c r="C53" s="48" t="s">
        <v>102</v>
      </c>
      <c r="D53" s="55">
        <f>IF(B53=K87,M87,IF(B53=K88,M88,IF(B53=K89,M89,IF(B53=K90,M90))))</f>
        <v>827000</v>
      </c>
      <c r="E53" s="50">
        <v>2017</v>
      </c>
      <c r="F53" s="51">
        <f t="shared" si="7"/>
        <v>0.98839999999999995</v>
      </c>
      <c r="G53" s="47" t="s">
        <v>84</v>
      </c>
      <c r="H53" s="53">
        <f t="shared" si="8"/>
        <v>249.46</v>
      </c>
      <c r="I53" s="54">
        <f t="shared" si="6"/>
        <v>206303420</v>
      </c>
    </row>
    <row r="54" spans="1:11" x14ac:dyDescent="0.35">
      <c r="B54" s="35" t="s">
        <v>135</v>
      </c>
      <c r="C54" s="36" t="s">
        <v>136</v>
      </c>
      <c r="D54" s="43">
        <v>441284</v>
      </c>
      <c r="E54" s="39">
        <v>2018</v>
      </c>
      <c r="F54" s="38" t="str">
        <f t="shared" si="7"/>
        <v>NA</v>
      </c>
      <c r="G54" s="4" t="s">
        <v>86</v>
      </c>
      <c r="H54" s="40" t="str">
        <f t="shared" si="8"/>
        <v>NA</v>
      </c>
      <c r="I54" s="41" t="str">
        <f t="shared" si="6"/>
        <v>NA</v>
      </c>
    </row>
    <row r="55" spans="1:11" x14ac:dyDescent="0.35">
      <c r="B55" s="35" t="s">
        <v>12</v>
      </c>
      <c r="C55" s="36" t="s">
        <v>105</v>
      </c>
      <c r="D55" s="42">
        <v>475800</v>
      </c>
      <c r="E55" s="37">
        <v>2017</v>
      </c>
      <c r="F55" s="38" t="str">
        <f t="shared" si="7"/>
        <v>NA</v>
      </c>
      <c r="G55" s="2" t="s">
        <v>84</v>
      </c>
      <c r="H55" s="40">
        <f t="shared" si="8"/>
        <v>286.24386000000004</v>
      </c>
      <c r="I55" s="41">
        <f t="shared" si="6"/>
        <v>136194828.58800003</v>
      </c>
    </row>
    <row r="56" spans="1:11" x14ac:dyDescent="0.35">
      <c r="B56" s="35" t="s">
        <v>137</v>
      </c>
      <c r="C56" s="36" t="s">
        <v>83</v>
      </c>
      <c r="D56" s="43">
        <v>536000</v>
      </c>
      <c r="E56" s="39">
        <v>2018</v>
      </c>
      <c r="F56" s="38">
        <f t="shared" si="7"/>
        <v>0.08</v>
      </c>
      <c r="G56" s="4" t="s">
        <v>86</v>
      </c>
      <c r="H56" s="40">
        <f t="shared" si="8"/>
        <v>956.56176000000016</v>
      </c>
      <c r="I56" s="41">
        <f t="shared" si="6"/>
        <v>512717103.36000007</v>
      </c>
    </row>
    <row r="57" spans="1:11" x14ac:dyDescent="0.35">
      <c r="B57" s="35" t="s">
        <v>138</v>
      </c>
      <c r="C57" s="36" t="s">
        <v>96</v>
      </c>
      <c r="D57" s="43">
        <v>431204</v>
      </c>
      <c r="E57" s="39">
        <v>2018</v>
      </c>
      <c r="F57" s="38">
        <f t="shared" si="7"/>
        <v>0.14000000000000001</v>
      </c>
      <c r="G57" s="4" t="s">
        <v>86</v>
      </c>
      <c r="H57" s="40">
        <f t="shared" si="8"/>
        <v>613.29343000000006</v>
      </c>
      <c r="I57" s="41">
        <f t="shared" si="6"/>
        <v>264454580.18972003</v>
      </c>
    </row>
    <row r="58" spans="1:11" x14ac:dyDescent="0.35">
      <c r="B58" s="35" t="s">
        <v>57</v>
      </c>
      <c r="C58" s="36" t="s">
        <v>104</v>
      </c>
      <c r="D58" s="42">
        <v>432300</v>
      </c>
      <c r="E58" s="37">
        <v>2017</v>
      </c>
      <c r="F58" s="38">
        <f t="shared" si="7"/>
        <v>0.12</v>
      </c>
      <c r="G58" s="2" t="s">
        <v>84</v>
      </c>
      <c r="H58" s="40">
        <f t="shared" si="8"/>
        <v>608.72112000000004</v>
      </c>
      <c r="I58" s="41">
        <f t="shared" si="6"/>
        <v>263150140.17600003</v>
      </c>
    </row>
    <row r="59" spans="1:11" x14ac:dyDescent="0.35">
      <c r="B59" s="35" t="s">
        <v>71</v>
      </c>
      <c r="C59" s="36" t="s">
        <v>83</v>
      </c>
      <c r="D59" s="43">
        <v>431000</v>
      </c>
      <c r="E59" s="37">
        <v>2016</v>
      </c>
      <c r="F59" s="38">
        <f t="shared" si="7"/>
        <v>0.08</v>
      </c>
      <c r="G59" s="2" t="s">
        <v>93</v>
      </c>
      <c r="H59" s="40">
        <f t="shared" si="8"/>
        <v>956.56176000000016</v>
      </c>
      <c r="I59" s="41">
        <f t="shared" si="6"/>
        <v>412278118.56000006</v>
      </c>
    </row>
    <row r="60" spans="1:11" x14ac:dyDescent="0.35">
      <c r="B60" s="35" t="s">
        <v>139</v>
      </c>
      <c r="C60" s="36" t="s">
        <v>92</v>
      </c>
      <c r="D60" s="43">
        <v>445630</v>
      </c>
      <c r="E60" s="39">
        <v>2018</v>
      </c>
      <c r="F60" s="38">
        <f t="shared" si="7"/>
        <v>0.22489999999999999</v>
      </c>
      <c r="G60" s="4" t="s">
        <v>86</v>
      </c>
      <c r="H60" s="40">
        <f t="shared" si="8"/>
        <v>906.79</v>
      </c>
      <c r="I60" s="41">
        <f t="shared" si="6"/>
        <v>404092827.69999999</v>
      </c>
    </row>
    <row r="61" spans="1:11" x14ac:dyDescent="0.35">
      <c r="B61" s="35" t="s">
        <v>140</v>
      </c>
      <c r="C61" s="36" t="s">
        <v>85</v>
      </c>
      <c r="D61" s="43">
        <v>399896</v>
      </c>
      <c r="E61" s="39">
        <v>2018</v>
      </c>
      <c r="F61" s="38">
        <f t="shared" si="7"/>
        <v>0.2</v>
      </c>
      <c r="G61" s="4" t="s">
        <v>86</v>
      </c>
      <c r="H61" s="40">
        <f t="shared" si="8"/>
        <v>573</v>
      </c>
      <c r="I61" s="41">
        <f t="shared" si="6"/>
        <v>229140408</v>
      </c>
      <c r="K61" s="214"/>
    </row>
    <row r="62" spans="1:11" x14ac:dyDescent="0.35">
      <c r="B62" s="35" t="s">
        <v>7</v>
      </c>
      <c r="C62" s="36" t="s">
        <v>85</v>
      </c>
      <c r="D62" s="43">
        <v>379524</v>
      </c>
      <c r="E62" s="39">
        <v>2018</v>
      </c>
      <c r="F62" s="38">
        <f t="shared" si="7"/>
        <v>0.2</v>
      </c>
      <c r="G62" s="4" t="s">
        <v>86</v>
      </c>
      <c r="H62" s="40">
        <f t="shared" si="8"/>
        <v>573</v>
      </c>
      <c r="I62" s="41">
        <f t="shared" si="6"/>
        <v>217467252</v>
      </c>
      <c r="K62" s="214"/>
    </row>
    <row r="63" spans="1:11" x14ac:dyDescent="0.35">
      <c r="B63" s="35" t="s">
        <v>141</v>
      </c>
      <c r="C63" s="36" t="s">
        <v>106</v>
      </c>
      <c r="D63" s="43">
        <v>436676</v>
      </c>
      <c r="E63" s="39">
        <v>2018</v>
      </c>
      <c r="F63" s="38" t="str">
        <f t="shared" si="7"/>
        <v>NA</v>
      </c>
      <c r="G63" s="4" t="s">
        <v>86</v>
      </c>
      <c r="H63" s="40">
        <f t="shared" si="8"/>
        <v>429.36579000000006</v>
      </c>
      <c r="I63" s="41">
        <f t="shared" si="6"/>
        <v>187493735.71404004</v>
      </c>
      <c r="K63" s="214"/>
    </row>
    <row r="64" spans="1:11" x14ac:dyDescent="0.35">
      <c r="B64" s="35" t="s">
        <v>55</v>
      </c>
      <c r="C64" s="36" t="s">
        <v>92</v>
      </c>
      <c r="D64" s="42">
        <v>401360</v>
      </c>
      <c r="E64" s="37">
        <v>2017</v>
      </c>
      <c r="F64" s="38">
        <f t="shared" si="7"/>
        <v>0.22489999999999999</v>
      </c>
      <c r="G64" s="2" t="s">
        <v>84</v>
      </c>
      <c r="H64" s="40">
        <f t="shared" si="8"/>
        <v>906.79</v>
      </c>
      <c r="I64" s="41">
        <f t="shared" si="6"/>
        <v>363949234.39999998</v>
      </c>
    </row>
    <row r="65" spans="2:16" x14ac:dyDescent="0.35">
      <c r="B65" s="35" t="s">
        <v>14</v>
      </c>
      <c r="C65" s="36" t="s">
        <v>85</v>
      </c>
      <c r="D65" s="42"/>
      <c r="E65" s="37"/>
      <c r="F65" s="38">
        <f t="shared" si="7"/>
        <v>0.2</v>
      </c>
      <c r="G65" s="2" t="s">
        <v>84</v>
      </c>
      <c r="H65" s="40">
        <f t="shared" si="8"/>
        <v>573</v>
      </c>
      <c r="I65" s="41">
        <f t="shared" si="6"/>
        <v>0</v>
      </c>
    </row>
    <row r="66" spans="2:16" x14ac:dyDescent="0.35">
      <c r="B66" s="35" t="s">
        <v>142</v>
      </c>
      <c r="C66" s="36" t="s">
        <v>85</v>
      </c>
      <c r="D66" s="43">
        <v>365051</v>
      </c>
      <c r="E66" s="39">
        <v>2018</v>
      </c>
      <c r="F66" s="38">
        <f t="shared" si="7"/>
        <v>0.2</v>
      </c>
      <c r="G66" s="4" t="s">
        <v>86</v>
      </c>
      <c r="H66" s="40">
        <f t="shared" si="8"/>
        <v>573</v>
      </c>
      <c r="I66" s="41">
        <f t="shared" si="6"/>
        <v>209174223</v>
      </c>
    </row>
    <row r="67" spans="2:16" x14ac:dyDescent="0.35">
      <c r="B67" s="35" t="s">
        <v>36</v>
      </c>
      <c r="C67" s="36" t="s">
        <v>103</v>
      </c>
      <c r="D67" s="42">
        <v>300400</v>
      </c>
      <c r="E67" s="37">
        <v>2017</v>
      </c>
      <c r="F67" s="38">
        <f t="shared" si="7"/>
        <v>5.0000000000000001E-3</v>
      </c>
      <c r="G67" s="2" t="s">
        <v>84</v>
      </c>
      <c r="H67" s="40">
        <f t="shared" si="8"/>
        <v>724.66800000000023</v>
      </c>
      <c r="I67" s="41">
        <f t="shared" si="6"/>
        <v>217690267.20000008</v>
      </c>
    </row>
    <row r="68" spans="2:16" x14ac:dyDescent="0.35">
      <c r="B68" s="35" t="s">
        <v>38</v>
      </c>
      <c r="C68" s="36" t="s">
        <v>103</v>
      </c>
      <c r="D68" s="42">
        <v>335670</v>
      </c>
      <c r="E68" s="37">
        <v>2017</v>
      </c>
      <c r="F68" s="38">
        <f t="shared" si="7"/>
        <v>5.0000000000000001E-3</v>
      </c>
      <c r="G68" s="2" t="s">
        <v>84</v>
      </c>
      <c r="H68" s="40">
        <f t="shared" si="8"/>
        <v>724.66800000000023</v>
      </c>
      <c r="I68" s="41">
        <f t="shared" si="6"/>
        <v>243249307.56000009</v>
      </c>
      <c r="K68" s="1"/>
      <c r="L68" s="26"/>
      <c r="M68" s="3"/>
      <c r="N68" s="3"/>
      <c r="O68" s="6"/>
    </row>
    <row r="69" spans="2:16" x14ac:dyDescent="0.35">
      <c r="B69" s="35" t="s">
        <v>143</v>
      </c>
      <c r="C69" s="36" t="s">
        <v>85</v>
      </c>
      <c r="D69" s="43">
        <v>335969</v>
      </c>
      <c r="E69" s="39">
        <v>2018</v>
      </c>
      <c r="F69" s="38">
        <f t="shared" ref="F69:F100" si="9">IF(C69=$K$5,$L$5,IF(C69=$K$6,$L$6,IF(C69=$K$7,$L$7,IF(C69=$K$8,$L$8,IF(C69=$K$9,$L$9,IF(C69=$K$10,$L$10,IF(C69=$K$11,$L$11,IF(C69=$K$12,$L$12,IF(C69=$K$13,$L$13,IF(C69=$K$14,$L$14,"NA"))))))))))</f>
        <v>0.2</v>
      </c>
      <c r="G69" s="4" t="s">
        <v>86</v>
      </c>
      <c r="H69" s="40">
        <f t="shared" ref="H69:H100" si="10">IF(C69=$K$5,$M$5,IF(C69=$K$6,$M$6,IF(C69=$K$7,$M$7,IF(C69=$K$8,$M$8,IF(C69=$K$9,$M$9,IF(C69=$K$10,$M$10,IF(C69=$K$11,$M$11,IF(C69=$K$12,$M$12,IF(C69=$K$13,$M$13,IF(C69=$K$14,$M$14,IF(C69=$K$15,$M$15,IF(C69=$K$16,$M$16,"NA"))))))))))))</f>
        <v>573</v>
      </c>
      <c r="I69" s="41">
        <f t="shared" si="6"/>
        <v>192510237</v>
      </c>
      <c r="K69" s="1"/>
      <c r="L69" s="26"/>
      <c r="M69" s="3"/>
      <c r="N69" s="3"/>
      <c r="O69" s="6"/>
    </row>
    <row r="70" spans="2:16" x14ac:dyDescent="0.35">
      <c r="B70" s="35" t="s">
        <v>24</v>
      </c>
      <c r="C70" s="36" t="s">
        <v>83</v>
      </c>
      <c r="D70" s="42">
        <v>330440</v>
      </c>
      <c r="E70" s="37">
        <v>2017</v>
      </c>
      <c r="F70" s="38">
        <f t="shared" si="9"/>
        <v>0.08</v>
      </c>
      <c r="G70" s="2" t="s">
        <v>84</v>
      </c>
      <c r="H70" s="40">
        <f t="shared" si="10"/>
        <v>956.56176000000016</v>
      </c>
      <c r="I70" s="41">
        <f t="shared" ref="I70:I127" si="11">IF(ISNUMBER(H70),H70*D70,"NA")</f>
        <v>316086267.97440004</v>
      </c>
      <c r="K70" s="1"/>
      <c r="L70" s="6"/>
      <c r="M70" s="3"/>
      <c r="N70" s="3"/>
      <c r="O70" s="15"/>
      <c r="P70" s="17"/>
    </row>
    <row r="71" spans="2:16" x14ac:dyDescent="0.35">
      <c r="B71" s="35" t="s">
        <v>144</v>
      </c>
      <c r="C71" s="36" t="s">
        <v>85</v>
      </c>
      <c r="D71" s="43">
        <v>292427</v>
      </c>
      <c r="E71" s="39">
        <v>2018</v>
      </c>
      <c r="F71" s="38">
        <f t="shared" si="9"/>
        <v>0.2</v>
      </c>
      <c r="G71" s="4" t="s">
        <v>86</v>
      </c>
      <c r="H71" s="40">
        <f t="shared" si="10"/>
        <v>573</v>
      </c>
      <c r="I71" s="41">
        <f t="shared" si="11"/>
        <v>167560671</v>
      </c>
      <c r="K71" s="1"/>
      <c r="L71" s="3"/>
      <c r="M71" s="3"/>
      <c r="N71" s="14"/>
      <c r="O71" s="6"/>
    </row>
    <row r="72" spans="2:16" x14ac:dyDescent="0.35">
      <c r="B72" s="35" t="s">
        <v>63</v>
      </c>
      <c r="C72" s="36" t="s">
        <v>96</v>
      </c>
      <c r="D72" s="43">
        <v>392383</v>
      </c>
      <c r="E72" s="39">
        <v>2018</v>
      </c>
      <c r="F72" s="38">
        <f t="shared" si="9"/>
        <v>0.14000000000000001</v>
      </c>
      <c r="G72" s="4" t="s">
        <v>86</v>
      </c>
      <c r="H72" s="40">
        <f t="shared" si="10"/>
        <v>613.29343000000006</v>
      </c>
      <c r="I72" s="41">
        <f t="shared" si="11"/>
        <v>240645915.94369003</v>
      </c>
      <c r="K72" s="1"/>
      <c r="L72" s="3"/>
    </row>
    <row r="73" spans="2:16" x14ac:dyDescent="0.35">
      <c r="B73" s="35" t="s">
        <v>22</v>
      </c>
      <c r="C73" s="36" t="s">
        <v>97</v>
      </c>
      <c r="D73" s="42">
        <v>319500</v>
      </c>
      <c r="E73" s="37">
        <v>2017</v>
      </c>
      <c r="F73" s="38">
        <f t="shared" si="9"/>
        <v>0.21729999999999999</v>
      </c>
      <c r="G73" s="2" t="s">
        <v>84</v>
      </c>
      <c r="H73" s="40">
        <f t="shared" si="10"/>
        <v>589.78</v>
      </c>
      <c r="I73" s="41">
        <f t="shared" si="11"/>
        <v>188434710</v>
      </c>
      <c r="K73" s="1"/>
      <c r="L73" s="3"/>
    </row>
    <row r="74" spans="2:16" x14ac:dyDescent="0.35">
      <c r="B74" s="35" t="s">
        <v>10</v>
      </c>
      <c r="C74" s="36" t="s">
        <v>105</v>
      </c>
      <c r="D74" s="42">
        <v>319000</v>
      </c>
      <c r="E74" s="37">
        <v>2017</v>
      </c>
      <c r="F74" s="38" t="str">
        <f t="shared" si="9"/>
        <v>NA</v>
      </c>
      <c r="G74" s="2" t="s">
        <v>84</v>
      </c>
      <c r="H74" s="40">
        <f t="shared" si="10"/>
        <v>286.24386000000004</v>
      </c>
      <c r="I74" s="41">
        <f t="shared" si="11"/>
        <v>91311791.340000018</v>
      </c>
      <c r="K74" s="1"/>
      <c r="L74" s="27"/>
    </row>
    <row r="75" spans="2:16" x14ac:dyDescent="0.35">
      <c r="B75" s="35" t="s">
        <v>145</v>
      </c>
      <c r="C75" s="36" t="s">
        <v>106</v>
      </c>
      <c r="D75" s="43">
        <v>309462</v>
      </c>
      <c r="E75" s="39">
        <v>2018</v>
      </c>
      <c r="F75" s="38" t="str">
        <f t="shared" si="9"/>
        <v>NA</v>
      </c>
      <c r="G75" s="4" t="s">
        <v>86</v>
      </c>
      <c r="H75" s="40">
        <f t="shared" si="10"/>
        <v>429.36579000000006</v>
      </c>
      <c r="I75" s="41">
        <f t="shared" si="11"/>
        <v>132872396.10498002</v>
      </c>
      <c r="K75" s="1"/>
      <c r="L75" s="6"/>
    </row>
    <row r="76" spans="2:16" x14ac:dyDescent="0.35">
      <c r="B76" s="35" t="s">
        <v>146</v>
      </c>
      <c r="C76" s="36" t="s">
        <v>106</v>
      </c>
      <c r="D76" s="43">
        <v>280447</v>
      </c>
      <c r="E76" s="39">
        <v>2018</v>
      </c>
      <c r="F76" s="38" t="str">
        <f t="shared" si="9"/>
        <v>NA</v>
      </c>
      <c r="G76" s="4" t="s">
        <v>86</v>
      </c>
      <c r="H76" s="40">
        <f t="shared" si="10"/>
        <v>429.36579000000006</v>
      </c>
      <c r="I76" s="41">
        <f t="shared" si="11"/>
        <v>120414347.70813002</v>
      </c>
      <c r="K76" s="1"/>
      <c r="L76" s="3"/>
    </row>
    <row r="77" spans="2:16" x14ac:dyDescent="0.35">
      <c r="B77" s="35" t="s">
        <v>51</v>
      </c>
      <c r="C77" s="36" t="s">
        <v>94</v>
      </c>
      <c r="D77" s="42">
        <v>312270</v>
      </c>
      <c r="E77" s="37">
        <v>2017</v>
      </c>
      <c r="F77" s="38">
        <f t="shared" si="9"/>
        <v>0.06</v>
      </c>
      <c r="G77" s="5" t="s">
        <v>84</v>
      </c>
      <c r="H77" s="40">
        <f t="shared" si="10"/>
        <v>608.72112000000004</v>
      </c>
      <c r="I77" s="41">
        <f t="shared" si="11"/>
        <v>190085344.14240003</v>
      </c>
      <c r="K77" s="1"/>
      <c r="L77" s="28"/>
      <c r="M77" s="3"/>
      <c r="N77" s="3"/>
      <c r="O77" s="6"/>
    </row>
    <row r="78" spans="2:16" x14ac:dyDescent="0.35">
      <c r="B78" s="35" t="s">
        <v>17</v>
      </c>
      <c r="C78" s="36" t="s">
        <v>94</v>
      </c>
      <c r="D78" s="43">
        <v>304000</v>
      </c>
      <c r="E78" s="37">
        <v>2016</v>
      </c>
      <c r="F78" s="38">
        <f t="shared" si="9"/>
        <v>0.06</v>
      </c>
      <c r="G78" s="5" t="s">
        <v>93</v>
      </c>
      <c r="H78" s="40">
        <f t="shared" si="10"/>
        <v>608.72112000000004</v>
      </c>
      <c r="I78" s="41">
        <f t="shared" si="11"/>
        <v>185051220.48000002</v>
      </c>
      <c r="K78" s="1"/>
      <c r="L78" s="26"/>
      <c r="M78" s="3"/>
      <c r="N78" s="3"/>
      <c r="O78" s="6"/>
    </row>
    <row r="79" spans="2:16" x14ac:dyDescent="0.35">
      <c r="B79" s="35" t="s">
        <v>147</v>
      </c>
      <c r="C79" s="36" t="s">
        <v>148</v>
      </c>
      <c r="D79" s="43">
        <v>303935</v>
      </c>
      <c r="E79" s="39">
        <v>2018</v>
      </c>
      <c r="F79" s="38" t="str">
        <f t="shared" si="9"/>
        <v>NA</v>
      </c>
      <c r="G79" s="4" t="s">
        <v>86</v>
      </c>
      <c r="H79" s="40" t="str">
        <f t="shared" si="10"/>
        <v>NA</v>
      </c>
      <c r="I79" s="41" t="str">
        <f t="shared" si="11"/>
        <v>NA</v>
      </c>
      <c r="K79" s="1"/>
      <c r="L79" s="27"/>
      <c r="M79" s="3"/>
      <c r="N79" s="3"/>
      <c r="O79" s="6"/>
    </row>
    <row r="80" spans="2:16" x14ac:dyDescent="0.35">
      <c r="B80" s="35" t="s">
        <v>11</v>
      </c>
      <c r="C80" s="36" t="s">
        <v>97</v>
      </c>
      <c r="D80" s="42">
        <v>298000</v>
      </c>
      <c r="E80" s="37">
        <v>2017</v>
      </c>
      <c r="F80" s="38">
        <f t="shared" si="9"/>
        <v>0.21729999999999999</v>
      </c>
      <c r="G80" s="5" t="s">
        <v>84</v>
      </c>
      <c r="H80" s="40">
        <f t="shared" si="10"/>
        <v>589.78</v>
      </c>
      <c r="I80" s="41">
        <f t="shared" si="11"/>
        <v>175754440</v>
      </c>
      <c r="K80" s="1"/>
      <c r="L80" s="27"/>
      <c r="M80" s="3"/>
      <c r="N80" s="16"/>
      <c r="O80" s="6"/>
    </row>
    <row r="81" spans="2:15" x14ac:dyDescent="0.35">
      <c r="B81" s="35" t="s">
        <v>149</v>
      </c>
      <c r="C81" s="36" t="s">
        <v>85</v>
      </c>
      <c r="D81" s="43">
        <v>275345</v>
      </c>
      <c r="E81" s="39">
        <v>2018</v>
      </c>
      <c r="F81" s="38">
        <f t="shared" si="9"/>
        <v>0.2</v>
      </c>
      <c r="G81" s="4" t="s">
        <v>86</v>
      </c>
      <c r="H81" s="40">
        <f t="shared" si="10"/>
        <v>573</v>
      </c>
      <c r="I81" s="41">
        <f t="shared" si="11"/>
        <v>157772685</v>
      </c>
      <c r="K81" s="1"/>
      <c r="L81" s="3"/>
      <c r="M81" s="1"/>
      <c r="N81" s="15"/>
      <c r="O81" s="6"/>
    </row>
    <row r="82" spans="2:15" x14ac:dyDescent="0.35">
      <c r="B82" s="35" t="s">
        <v>13</v>
      </c>
      <c r="C82" s="36" t="s">
        <v>105</v>
      </c>
      <c r="D82" s="42">
        <v>277300</v>
      </c>
      <c r="E82" s="37">
        <v>2017</v>
      </c>
      <c r="F82" s="38" t="str">
        <f t="shared" si="9"/>
        <v>NA</v>
      </c>
      <c r="G82" s="5" t="s">
        <v>84</v>
      </c>
      <c r="H82" s="40">
        <f t="shared" si="10"/>
        <v>286.24386000000004</v>
      </c>
      <c r="I82" s="41">
        <f t="shared" si="11"/>
        <v>79375422.378000006</v>
      </c>
      <c r="K82" s="1"/>
      <c r="L82" s="3"/>
      <c r="M82" s="1"/>
      <c r="N82" s="19"/>
      <c r="O82" s="6"/>
    </row>
    <row r="83" spans="2:15" x14ac:dyDescent="0.35">
      <c r="B83" s="35" t="s">
        <v>60</v>
      </c>
      <c r="C83" s="36" t="s">
        <v>150</v>
      </c>
      <c r="D83" s="43">
        <v>286901</v>
      </c>
      <c r="E83" s="39">
        <v>2018</v>
      </c>
      <c r="F83" s="38" t="str">
        <f t="shared" si="9"/>
        <v>NA</v>
      </c>
      <c r="G83" s="4" t="s">
        <v>86</v>
      </c>
      <c r="H83" s="40" t="str">
        <f t="shared" si="10"/>
        <v>NA</v>
      </c>
      <c r="I83" s="41" t="str">
        <f t="shared" si="11"/>
        <v>NA</v>
      </c>
      <c r="K83" s="1"/>
      <c r="L83" s="3"/>
      <c r="M83" s="1"/>
      <c r="N83" s="6"/>
      <c r="O83" s="6"/>
    </row>
    <row r="84" spans="2:15" x14ac:dyDescent="0.35">
      <c r="B84" s="35" t="s">
        <v>76</v>
      </c>
      <c r="C84" s="36" t="s">
        <v>105</v>
      </c>
      <c r="D84" s="42">
        <v>274000</v>
      </c>
      <c r="E84" s="37">
        <v>2017</v>
      </c>
      <c r="F84" s="38" t="str">
        <f t="shared" si="9"/>
        <v>NA</v>
      </c>
      <c r="G84" s="5" t="s">
        <v>84</v>
      </c>
      <c r="H84" s="40">
        <f t="shared" si="10"/>
        <v>286.24386000000004</v>
      </c>
      <c r="I84" s="41">
        <f t="shared" si="11"/>
        <v>78430817.640000015</v>
      </c>
      <c r="K84" s="196"/>
      <c r="L84" s="196"/>
      <c r="M84" s="196"/>
      <c r="N84" s="196"/>
    </row>
    <row r="85" spans="2:15" x14ac:dyDescent="0.35">
      <c r="B85" s="35" t="s">
        <v>26</v>
      </c>
      <c r="C85" s="36" t="s">
        <v>97</v>
      </c>
      <c r="D85" s="42">
        <v>283630</v>
      </c>
      <c r="E85" s="37">
        <v>2017</v>
      </c>
      <c r="F85" s="38">
        <f t="shared" si="9"/>
        <v>0.21729999999999999</v>
      </c>
      <c r="G85" s="5" t="s">
        <v>84</v>
      </c>
      <c r="H85" s="40">
        <f t="shared" si="10"/>
        <v>589.78</v>
      </c>
      <c r="I85" s="41">
        <f t="shared" si="11"/>
        <v>167279301.40000001</v>
      </c>
      <c r="K85" s="196"/>
      <c r="L85" s="196"/>
      <c r="M85" s="196"/>
      <c r="N85" s="196"/>
    </row>
    <row r="86" spans="2:15" x14ac:dyDescent="0.35">
      <c r="B86" s="35" t="s">
        <v>151</v>
      </c>
      <c r="C86" s="36" t="s">
        <v>106</v>
      </c>
      <c r="D86" s="43">
        <v>272207</v>
      </c>
      <c r="E86" s="39">
        <v>2018</v>
      </c>
      <c r="F86" s="38" t="str">
        <f t="shared" si="9"/>
        <v>NA</v>
      </c>
      <c r="G86" s="4" t="s">
        <v>86</v>
      </c>
      <c r="H86" s="40">
        <f t="shared" si="10"/>
        <v>429.36579000000006</v>
      </c>
      <c r="I86" s="41">
        <f t="shared" si="11"/>
        <v>116876373.59853001</v>
      </c>
      <c r="K86" s="196"/>
      <c r="L86" s="196"/>
      <c r="M86" s="196"/>
      <c r="N86" s="196"/>
    </row>
    <row r="87" spans="2:15" x14ac:dyDescent="0.35">
      <c r="B87" s="35" t="s">
        <v>48</v>
      </c>
      <c r="C87" s="36" t="s">
        <v>106</v>
      </c>
      <c r="D87" s="43">
        <v>292084</v>
      </c>
      <c r="E87" s="39">
        <v>2018</v>
      </c>
      <c r="F87" s="38" t="str">
        <f t="shared" si="9"/>
        <v>NA</v>
      </c>
      <c r="G87" s="4" t="s">
        <v>86</v>
      </c>
      <c r="H87" s="40">
        <f t="shared" si="10"/>
        <v>429.36579000000006</v>
      </c>
      <c r="I87" s="41">
        <f t="shared" si="11"/>
        <v>125410877.40636002</v>
      </c>
      <c r="K87" s="78" t="s">
        <v>128</v>
      </c>
      <c r="L87" s="78"/>
      <c r="M87" s="78">
        <v>827000</v>
      </c>
      <c r="N87" s="79">
        <v>0.3327</v>
      </c>
      <c r="O87" s="78"/>
    </row>
    <row r="88" spans="2:15" x14ac:dyDescent="0.35">
      <c r="B88" s="35" t="s">
        <v>73</v>
      </c>
      <c r="C88" s="36" t="s">
        <v>97</v>
      </c>
      <c r="D88" s="42">
        <v>261090</v>
      </c>
      <c r="E88" s="37">
        <v>2017</v>
      </c>
      <c r="F88" s="38">
        <f t="shared" si="9"/>
        <v>0.21729999999999999</v>
      </c>
      <c r="G88" s="5" t="s">
        <v>84</v>
      </c>
      <c r="H88" s="40">
        <f t="shared" si="10"/>
        <v>589.78</v>
      </c>
      <c r="I88" s="41">
        <f t="shared" si="11"/>
        <v>153985660.19999999</v>
      </c>
      <c r="K88" s="78" t="s">
        <v>129</v>
      </c>
      <c r="L88" s="78"/>
      <c r="M88" s="78">
        <v>330000</v>
      </c>
      <c r="N88" s="79">
        <v>0.125</v>
      </c>
      <c r="O88" s="78"/>
    </row>
    <row r="89" spans="2:15" x14ac:dyDescent="0.35">
      <c r="B89" s="35" t="s">
        <v>152</v>
      </c>
      <c r="C89" s="36" t="s">
        <v>92</v>
      </c>
      <c r="D89" s="43">
        <v>241897</v>
      </c>
      <c r="E89" s="39">
        <v>2018</v>
      </c>
      <c r="F89" s="38">
        <f t="shared" si="9"/>
        <v>0.22489999999999999</v>
      </c>
      <c r="G89" s="4" t="s">
        <v>86</v>
      </c>
      <c r="H89" s="40">
        <f t="shared" si="10"/>
        <v>906.79</v>
      </c>
      <c r="I89" s="41">
        <f t="shared" si="11"/>
        <v>219349780.63</v>
      </c>
      <c r="K89" s="78" t="s">
        <v>131</v>
      </c>
      <c r="L89" s="78"/>
      <c r="M89" s="78">
        <v>282000</v>
      </c>
      <c r="N89" s="79">
        <v>0.09</v>
      </c>
      <c r="O89" s="78"/>
    </row>
    <row r="90" spans="2:15" x14ac:dyDescent="0.35">
      <c r="B90" s="35" t="s">
        <v>153</v>
      </c>
      <c r="C90" s="36" t="s">
        <v>85</v>
      </c>
      <c r="D90" s="43">
        <v>252273</v>
      </c>
      <c r="E90" s="39">
        <v>2018</v>
      </c>
      <c r="F90" s="38">
        <f t="shared" si="9"/>
        <v>0.2</v>
      </c>
      <c r="G90" s="4" t="s">
        <v>86</v>
      </c>
      <c r="H90" s="40">
        <f t="shared" si="10"/>
        <v>573</v>
      </c>
      <c r="I90" s="41">
        <f t="shared" si="11"/>
        <v>144552429</v>
      </c>
      <c r="K90" s="78" t="s">
        <v>133</v>
      </c>
      <c r="L90" s="78"/>
      <c r="M90" s="78">
        <v>215000</v>
      </c>
      <c r="N90" s="79">
        <v>0.97</v>
      </c>
      <c r="O90" s="78"/>
    </row>
    <row r="91" spans="2:15" x14ac:dyDescent="0.35">
      <c r="B91" s="35" t="s">
        <v>154</v>
      </c>
      <c r="C91" s="36" t="s">
        <v>96</v>
      </c>
      <c r="D91" s="43">
        <v>243437</v>
      </c>
      <c r="E91" s="39">
        <v>2018</v>
      </c>
      <c r="F91" s="38">
        <f t="shared" si="9"/>
        <v>0.14000000000000001</v>
      </c>
      <c r="G91" s="4" t="s">
        <v>86</v>
      </c>
      <c r="H91" s="40">
        <f t="shared" si="10"/>
        <v>613.29343000000006</v>
      </c>
      <c r="I91" s="41">
        <f t="shared" si="11"/>
        <v>149298312.71891001</v>
      </c>
      <c r="K91" s="78"/>
      <c r="L91" s="78"/>
      <c r="M91" s="78"/>
      <c r="N91" s="78"/>
      <c r="O91" s="78"/>
    </row>
    <row r="92" spans="2:15" x14ac:dyDescent="0.35">
      <c r="B92" s="35" t="s">
        <v>5</v>
      </c>
      <c r="C92" s="36" t="s">
        <v>106</v>
      </c>
      <c r="D92" s="43">
        <v>220527</v>
      </c>
      <c r="E92" s="39">
        <v>2018</v>
      </c>
      <c r="F92" s="38" t="str">
        <f t="shared" si="9"/>
        <v>NA</v>
      </c>
      <c r="G92" s="4" t="s">
        <v>86</v>
      </c>
      <c r="H92" s="40">
        <f t="shared" si="10"/>
        <v>429.36579000000006</v>
      </c>
      <c r="I92" s="41">
        <f t="shared" si="11"/>
        <v>94686749.571330011</v>
      </c>
      <c r="K92" s="78" t="s">
        <v>276</v>
      </c>
      <c r="L92" s="78"/>
      <c r="M92" s="78">
        <v>877700</v>
      </c>
      <c r="N92" s="78"/>
    </row>
    <row r="93" spans="2:15" x14ac:dyDescent="0.35">
      <c r="B93" s="35" t="s">
        <v>155</v>
      </c>
      <c r="C93" s="36" t="s">
        <v>97</v>
      </c>
      <c r="D93" s="43">
        <v>241000</v>
      </c>
      <c r="E93" s="39">
        <v>2018</v>
      </c>
      <c r="F93" s="38">
        <f t="shared" si="9"/>
        <v>0.21729999999999999</v>
      </c>
      <c r="G93" s="4" t="s">
        <v>86</v>
      </c>
      <c r="H93" s="40">
        <f t="shared" si="10"/>
        <v>589.78</v>
      </c>
      <c r="I93" s="41">
        <f t="shared" si="11"/>
        <v>142136980</v>
      </c>
      <c r="K93" s="78" t="s">
        <v>277</v>
      </c>
      <c r="L93" s="78"/>
      <c r="M93" s="78">
        <f>$M$92*0.5</f>
        <v>438850</v>
      </c>
      <c r="N93" s="78"/>
    </row>
    <row r="94" spans="2:15" x14ac:dyDescent="0.35">
      <c r="B94" s="35" t="s">
        <v>32</v>
      </c>
      <c r="C94" s="36" t="s">
        <v>106</v>
      </c>
      <c r="D94" s="43">
        <v>210716</v>
      </c>
      <c r="E94" s="39">
        <v>2018</v>
      </c>
      <c r="F94" s="38" t="str">
        <f t="shared" si="9"/>
        <v>NA</v>
      </c>
      <c r="G94" s="4" t="s">
        <v>86</v>
      </c>
      <c r="H94" s="40">
        <f t="shared" si="10"/>
        <v>429.36579000000006</v>
      </c>
      <c r="I94" s="41">
        <f t="shared" si="11"/>
        <v>90474241.805640012</v>
      </c>
      <c r="K94" s="78" t="s">
        <v>278</v>
      </c>
      <c r="L94" s="78"/>
      <c r="M94" s="78">
        <f>$M$92*0.5</f>
        <v>438850</v>
      </c>
      <c r="N94" s="78"/>
    </row>
    <row r="95" spans="2:15" x14ac:dyDescent="0.35">
      <c r="B95" s="35" t="s">
        <v>156</v>
      </c>
      <c r="C95" s="36" t="s">
        <v>96</v>
      </c>
      <c r="D95" s="43">
        <v>246567</v>
      </c>
      <c r="E95" s="39">
        <v>2018</v>
      </c>
      <c r="F95" s="38">
        <f t="shared" si="9"/>
        <v>0.14000000000000001</v>
      </c>
      <c r="G95" s="4" t="s">
        <v>86</v>
      </c>
      <c r="H95" s="40">
        <f t="shared" si="10"/>
        <v>613.29343000000006</v>
      </c>
      <c r="I95" s="41">
        <f t="shared" si="11"/>
        <v>151217921.15481001</v>
      </c>
      <c r="K95" s="78"/>
      <c r="L95" s="78"/>
      <c r="M95" s="78"/>
      <c r="N95" s="78"/>
    </row>
    <row r="96" spans="2:15" x14ac:dyDescent="0.35">
      <c r="B96" s="35" t="s">
        <v>157</v>
      </c>
      <c r="C96" s="36" t="s">
        <v>92</v>
      </c>
      <c r="D96" s="43">
        <v>200998</v>
      </c>
      <c r="E96" s="39">
        <v>2018</v>
      </c>
      <c r="F96" s="38">
        <f t="shared" si="9"/>
        <v>0.22489999999999999</v>
      </c>
      <c r="G96" s="4" t="s">
        <v>86</v>
      </c>
      <c r="H96" s="40">
        <f t="shared" si="10"/>
        <v>906.79</v>
      </c>
      <c r="I96" s="41">
        <f t="shared" si="11"/>
        <v>182262976.41999999</v>
      </c>
    </row>
    <row r="97" spans="2:9" x14ac:dyDescent="0.35">
      <c r="B97" s="35" t="s">
        <v>158</v>
      </c>
      <c r="C97" s="36" t="s">
        <v>85</v>
      </c>
      <c r="D97" s="43">
        <v>236503</v>
      </c>
      <c r="E97" s="39">
        <v>2018</v>
      </c>
      <c r="F97" s="38">
        <f t="shared" si="9"/>
        <v>0.2</v>
      </c>
      <c r="G97" s="4" t="s">
        <v>86</v>
      </c>
      <c r="H97" s="40">
        <f t="shared" si="10"/>
        <v>573</v>
      </c>
      <c r="I97" s="41">
        <f t="shared" si="11"/>
        <v>135516219</v>
      </c>
    </row>
    <row r="98" spans="2:9" x14ac:dyDescent="0.35">
      <c r="B98" s="35" t="s">
        <v>23</v>
      </c>
      <c r="C98" s="36" t="s">
        <v>97</v>
      </c>
      <c r="D98" s="42">
        <v>228170</v>
      </c>
      <c r="E98" s="37">
        <v>2017</v>
      </c>
      <c r="F98" s="38">
        <f t="shared" si="9"/>
        <v>0.21729999999999999</v>
      </c>
      <c r="G98" s="5" t="s">
        <v>84</v>
      </c>
      <c r="H98" s="40">
        <f t="shared" si="10"/>
        <v>589.78</v>
      </c>
      <c r="I98" s="41">
        <f t="shared" si="11"/>
        <v>134570102.59999999</v>
      </c>
    </row>
    <row r="99" spans="2:9" x14ac:dyDescent="0.35">
      <c r="B99" s="35" t="s">
        <v>159</v>
      </c>
      <c r="C99" s="36" t="s">
        <v>96</v>
      </c>
      <c r="D99" s="43">
        <v>231881</v>
      </c>
      <c r="E99" s="39">
        <v>2018</v>
      </c>
      <c r="F99" s="38">
        <f t="shared" si="9"/>
        <v>0.14000000000000001</v>
      </c>
      <c r="G99" s="4" t="s">
        <v>86</v>
      </c>
      <c r="H99" s="40">
        <f t="shared" si="10"/>
        <v>613.29343000000006</v>
      </c>
      <c r="I99" s="41">
        <f t="shared" si="11"/>
        <v>142211093.84183002</v>
      </c>
    </row>
    <row r="100" spans="2:9" x14ac:dyDescent="0.35">
      <c r="B100" s="35" t="s">
        <v>160</v>
      </c>
      <c r="C100" s="36" t="s">
        <v>85</v>
      </c>
      <c r="D100" s="43">
        <v>219091</v>
      </c>
      <c r="E100" s="39">
        <v>2018</v>
      </c>
      <c r="F100" s="38">
        <f t="shared" si="9"/>
        <v>0.2</v>
      </c>
      <c r="G100" s="4" t="s">
        <v>86</v>
      </c>
      <c r="H100" s="40">
        <f t="shared" si="10"/>
        <v>573</v>
      </c>
      <c r="I100" s="41">
        <f t="shared" si="11"/>
        <v>125539143</v>
      </c>
    </row>
    <row r="101" spans="2:9" x14ac:dyDescent="0.35">
      <c r="B101" s="35" t="s">
        <v>49</v>
      </c>
      <c r="C101" s="36" t="s">
        <v>103</v>
      </c>
      <c r="D101" s="43">
        <v>196503</v>
      </c>
      <c r="E101" s="39">
        <v>2018</v>
      </c>
      <c r="F101" s="38">
        <f t="shared" ref="F101:F132" si="12">IF(C101=$K$5,$L$5,IF(C101=$K$6,$L$6,IF(C101=$K$7,$L$7,IF(C101=$K$8,$L$8,IF(C101=$K$9,$L$9,IF(C101=$K$10,$L$10,IF(C101=$K$11,$L$11,IF(C101=$K$12,$L$12,IF(C101=$K$13,$L$13,IF(C101=$K$14,$L$14,"NA"))))))))))</f>
        <v>5.0000000000000001E-3</v>
      </c>
      <c r="G101" s="4" t="s">
        <v>86</v>
      </c>
      <c r="H101" s="40">
        <f t="shared" ref="H101:H132" si="13">IF(C101=$K$5,$M$5,IF(C101=$K$6,$M$6,IF(C101=$K$7,$M$7,IF(C101=$K$8,$M$8,IF(C101=$K$9,$M$9,IF(C101=$K$10,$M$10,IF(C101=$K$11,$M$11,IF(C101=$K$12,$M$12,IF(C101=$K$13,$M$13,IF(C101=$K$14,$M$14,IF(C101=$K$15,$M$15,IF(C101=$K$16,$M$16,"NA"))))))))))))</f>
        <v>724.66800000000023</v>
      </c>
      <c r="I101" s="41">
        <f t="shared" si="11"/>
        <v>142399436.00400004</v>
      </c>
    </row>
    <row r="102" spans="2:9" x14ac:dyDescent="0.35">
      <c r="B102" s="35" t="s">
        <v>161</v>
      </c>
      <c r="C102" s="36" t="s">
        <v>106</v>
      </c>
      <c r="D102" s="43">
        <v>202980</v>
      </c>
      <c r="E102" s="39">
        <v>2018</v>
      </c>
      <c r="F102" s="38" t="str">
        <f t="shared" si="12"/>
        <v>NA</v>
      </c>
      <c r="G102" s="4" t="s">
        <v>86</v>
      </c>
      <c r="H102" s="40">
        <f t="shared" si="13"/>
        <v>429.36579000000006</v>
      </c>
      <c r="I102" s="41">
        <f t="shared" si="11"/>
        <v>87152668.054200009</v>
      </c>
    </row>
    <row r="103" spans="2:9" x14ac:dyDescent="0.35">
      <c r="B103" s="35" t="s">
        <v>162</v>
      </c>
      <c r="C103" s="36" t="s">
        <v>97</v>
      </c>
      <c r="D103" s="43">
        <v>201635</v>
      </c>
      <c r="E103" s="39">
        <v>2018</v>
      </c>
      <c r="F103" s="38">
        <f t="shared" si="12"/>
        <v>0.21729999999999999</v>
      </c>
      <c r="G103" s="4" t="s">
        <v>86</v>
      </c>
      <c r="H103" s="40">
        <f t="shared" si="13"/>
        <v>589.78</v>
      </c>
      <c r="I103" s="41">
        <f t="shared" si="11"/>
        <v>118920290.3</v>
      </c>
    </row>
    <row r="104" spans="2:9" x14ac:dyDescent="0.35">
      <c r="B104" s="35" t="s">
        <v>163</v>
      </c>
      <c r="C104" s="36" t="s">
        <v>85</v>
      </c>
      <c r="D104" s="43">
        <v>201500</v>
      </c>
      <c r="E104" s="39">
        <v>2018</v>
      </c>
      <c r="F104" s="38">
        <f t="shared" si="12"/>
        <v>0.2</v>
      </c>
      <c r="G104" s="4" t="s">
        <v>86</v>
      </c>
      <c r="H104" s="40">
        <f t="shared" si="13"/>
        <v>573</v>
      </c>
      <c r="I104" s="41">
        <f t="shared" si="11"/>
        <v>115459500</v>
      </c>
    </row>
    <row r="105" spans="2:9" x14ac:dyDescent="0.35">
      <c r="B105" s="35" t="s">
        <v>42</v>
      </c>
      <c r="C105" s="36" t="s">
        <v>85</v>
      </c>
      <c r="D105" s="43">
        <v>194000</v>
      </c>
      <c r="E105" s="37">
        <v>2016</v>
      </c>
      <c r="F105" s="38">
        <f t="shared" si="12"/>
        <v>0.2</v>
      </c>
      <c r="G105" s="5" t="s">
        <v>93</v>
      </c>
      <c r="H105" s="40">
        <f t="shared" si="13"/>
        <v>573</v>
      </c>
      <c r="I105" s="41">
        <f t="shared" si="11"/>
        <v>111162000</v>
      </c>
    </row>
    <row r="106" spans="2:9" x14ac:dyDescent="0.35">
      <c r="B106" s="35" t="s">
        <v>45</v>
      </c>
      <c r="C106" s="36" t="s">
        <v>106</v>
      </c>
      <c r="D106" s="43">
        <v>196220</v>
      </c>
      <c r="E106" s="39">
        <v>2018</v>
      </c>
      <c r="F106" s="38" t="str">
        <f t="shared" si="12"/>
        <v>NA</v>
      </c>
      <c r="G106" s="4" t="s">
        <v>86</v>
      </c>
      <c r="H106" s="40">
        <f t="shared" si="13"/>
        <v>429.36579000000006</v>
      </c>
      <c r="I106" s="41">
        <f t="shared" si="11"/>
        <v>84250155.313800007</v>
      </c>
    </row>
    <row r="107" spans="2:9" x14ac:dyDescent="0.35">
      <c r="B107" s="35" t="s">
        <v>19</v>
      </c>
      <c r="C107" s="36" t="s">
        <v>94</v>
      </c>
      <c r="D107" s="43">
        <v>191000</v>
      </c>
      <c r="E107" s="37">
        <v>2016</v>
      </c>
      <c r="F107" s="38">
        <f t="shared" si="12"/>
        <v>0.06</v>
      </c>
      <c r="G107" s="5" t="s">
        <v>93</v>
      </c>
      <c r="H107" s="40">
        <f t="shared" si="13"/>
        <v>608.72112000000004</v>
      </c>
      <c r="I107" s="41">
        <f t="shared" si="11"/>
        <v>116265733.92</v>
      </c>
    </row>
    <row r="108" spans="2:9" x14ac:dyDescent="0.35">
      <c r="B108" s="35" t="s">
        <v>29</v>
      </c>
      <c r="C108" s="36" t="s">
        <v>85</v>
      </c>
      <c r="D108" s="42">
        <v>385000</v>
      </c>
      <c r="E108" s="37">
        <v>2017</v>
      </c>
      <c r="F108" s="38">
        <f t="shared" si="12"/>
        <v>0.2</v>
      </c>
      <c r="G108" s="5" t="s">
        <v>84</v>
      </c>
      <c r="H108" s="40">
        <f t="shared" si="13"/>
        <v>573</v>
      </c>
      <c r="I108" s="41">
        <f t="shared" si="11"/>
        <v>220605000</v>
      </c>
    </row>
    <row r="109" spans="2:9" x14ac:dyDescent="0.35">
      <c r="B109" s="35" t="s">
        <v>21</v>
      </c>
      <c r="C109" s="36" t="s">
        <v>97</v>
      </c>
      <c r="D109" s="42">
        <v>185000</v>
      </c>
      <c r="E109" s="37">
        <v>2017</v>
      </c>
      <c r="F109" s="38">
        <f t="shared" si="12"/>
        <v>0.21729999999999999</v>
      </c>
      <c r="G109" s="5" t="s">
        <v>84</v>
      </c>
      <c r="H109" s="40">
        <f t="shared" si="13"/>
        <v>589.78</v>
      </c>
      <c r="I109" s="41">
        <f t="shared" si="11"/>
        <v>109109300</v>
      </c>
    </row>
    <row r="110" spans="2:9" x14ac:dyDescent="0.35">
      <c r="B110" s="35" t="s">
        <v>41</v>
      </c>
      <c r="C110" s="36" t="s">
        <v>85</v>
      </c>
      <c r="D110" s="43">
        <v>184000</v>
      </c>
      <c r="E110" s="37">
        <v>2016</v>
      </c>
      <c r="F110" s="38">
        <f t="shared" si="12"/>
        <v>0.2</v>
      </c>
      <c r="G110" s="5" t="s">
        <v>93</v>
      </c>
      <c r="H110" s="40">
        <f t="shared" si="13"/>
        <v>573</v>
      </c>
      <c r="I110" s="41">
        <f t="shared" si="11"/>
        <v>105432000</v>
      </c>
    </row>
    <row r="111" spans="2:9" x14ac:dyDescent="0.35">
      <c r="B111" s="35" t="s">
        <v>164</v>
      </c>
      <c r="C111" s="36" t="s">
        <v>96</v>
      </c>
      <c r="D111" s="43">
        <v>186758</v>
      </c>
      <c r="E111" s="39">
        <v>2018</v>
      </c>
      <c r="F111" s="38">
        <f t="shared" si="12"/>
        <v>0.14000000000000001</v>
      </c>
      <c r="G111" s="4" t="s">
        <v>86</v>
      </c>
      <c r="H111" s="40">
        <f t="shared" si="13"/>
        <v>613.29343000000006</v>
      </c>
      <c r="I111" s="41">
        <f t="shared" si="11"/>
        <v>114537454.39994001</v>
      </c>
    </row>
    <row r="112" spans="2:9" x14ac:dyDescent="0.35">
      <c r="B112" s="35" t="s">
        <v>72</v>
      </c>
      <c r="C112" s="36" t="s">
        <v>85</v>
      </c>
      <c r="D112" s="43">
        <v>169629</v>
      </c>
      <c r="E112" s="39">
        <v>2018</v>
      </c>
      <c r="F112" s="38">
        <f t="shared" si="12"/>
        <v>0.2</v>
      </c>
      <c r="G112" s="4" t="s">
        <v>86</v>
      </c>
      <c r="H112" s="40">
        <f t="shared" si="13"/>
        <v>573</v>
      </c>
      <c r="I112" s="41">
        <f t="shared" si="11"/>
        <v>97197417</v>
      </c>
    </row>
    <row r="113" spans="2:17" x14ac:dyDescent="0.35">
      <c r="B113" s="35" t="s">
        <v>165</v>
      </c>
      <c r="C113" s="36" t="s">
        <v>105</v>
      </c>
      <c r="D113" s="43">
        <v>161076</v>
      </c>
      <c r="E113" s="39">
        <v>2018</v>
      </c>
      <c r="F113" s="38" t="str">
        <f t="shared" si="12"/>
        <v>NA</v>
      </c>
      <c r="G113" s="4" t="s">
        <v>86</v>
      </c>
      <c r="H113" s="40">
        <f t="shared" si="13"/>
        <v>286.24386000000004</v>
      </c>
      <c r="I113" s="41">
        <f t="shared" si="11"/>
        <v>46107015.993360005</v>
      </c>
    </row>
    <row r="114" spans="2:17" x14ac:dyDescent="0.35">
      <c r="B114" s="35" t="s">
        <v>166</v>
      </c>
      <c r="C114" s="36" t="s">
        <v>106</v>
      </c>
      <c r="D114" s="43">
        <v>174671</v>
      </c>
      <c r="E114" s="39">
        <v>2018</v>
      </c>
      <c r="F114" s="38" t="str">
        <f t="shared" si="12"/>
        <v>NA</v>
      </c>
      <c r="G114" s="4" t="s">
        <v>86</v>
      </c>
      <c r="H114" s="40">
        <f t="shared" si="13"/>
        <v>429.36579000000006</v>
      </c>
      <c r="I114" s="41">
        <f t="shared" si="11"/>
        <v>74997751.905090004</v>
      </c>
      <c r="K114" s="103" t="s">
        <v>116</v>
      </c>
      <c r="L114" s="103"/>
      <c r="M114" s="103" t="s">
        <v>117</v>
      </c>
      <c r="N114" s="103" t="s">
        <v>118</v>
      </c>
      <c r="O114" s="103" t="s">
        <v>119</v>
      </c>
      <c r="P114" s="103" t="s">
        <v>120</v>
      </c>
      <c r="Q114" s="103"/>
    </row>
    <row r="115" spans="2:17" x14ac:dyDescent="0.35">
      <c r="B115" s="35" t="s">
        <v>33</v>
      </c>
      <c r="C115" s="36" t="s">
        <v>106</v>
      </c>
      <c r="D115" s="43">
        <v>174254</v>
      </c>
      <c r="E115" s="39">
        <v>2018</v>
      </c>
      <c r="F115" s="38" t="str">
        <f t="shared" si="12"/>
        <v>NA</v>
      </c>
      <c r="G115" s="4" t="s">
        <v>86</v>
      </c>
      <c r="H115" s="40">
        <f t="shared" si="13"/>
        <v>429.36579000000006</v>
      </c>
      <c r="I115" s="41">
        <f t="shared" si="11"/>
        <v>74818706.370660007</v>
      </c>
      <c r="K115" s="103"/>
      <c r="L115" s="103" t="s">
        <v>100</v>
      </c>
      <c r="M115" s="103">
        <f>34*N115</f>
        <v>38.080000000000005</v>
      </c>
      <c r="N115" s="103">
        <v>1.1200000000000001</v>
      </c>
      <c r="O115" s="103">
        <f>M115*$P$115</f>
        <v>328.51616000000007</v>
      </c>
      <c r="P115" s="103">
        <v>8.6270000000000007</v>
      </c>
      <c r="Q115" s="103"/>
    </row>
    <row r="116" spans="2:17" x14ac:dyDescent="0.35">
      <c r="B116" s="35" t="s">
        <v>2</v>
      </c>
      <c r="C116" s="36" t="s">
        <v>103</v>
      </c>
      <c r="D116" s="42">
        <v>159720</v>
      </c>
      <c r="E116" s="37">
        <v>2017</v>
      </c>
      <c r="F116" s="38">
        <f t="shared" si="12"/>
        <v>5.0000000000000001E-3</v>
      </c>
      <c r="G116" s="5" t="s">
        <v>84</v>
      </c>
      <c r="H116" s="40">
        <f t="shared" si="13"/>
        <v>724.66800000000023</v>
      </c>
      <c r="I116" s="41">
        <f t="shared" si="11"/>
        <v>115743972.96000004</v>
      </c>
      <c r="K116" s="103"/>
      <c r="L116" s="103" t="s">
        <v>122</v>
      </c>
      <c r="M116" s="103">
        <f>63*N115</f>
        <v>70.56</v>
      </c>
      <c r="N116" s="103"/>
      <c r="O116" s="103">
        <f>M116*$P$115</f>
        <v>608.72112000000004</v>
      </c>
      <c r="P116" s="103"/>
      <c r="Q116" s="103"/>
    </row>
    <row r="117" spans="2:17" x14ac:dyDescent="0.35">
      <c r="B117" s="35" t="s">
        <v>167</v>
      </c>
      <c r="C117" s="36" t="s">
        <v>106</v>
      </c>
      <c r="D117" s="44">
        <v>188023</v>
      </c>
      <c r="E117" s="39">
        <v>2018</v>
      </c>
      <c r="F117" s="38" t="str">
        <f t="shared" si="12"/>
        <v>NA</v>
      </c>
      <c r="G117" s="4" t="s">
        <v>86</v>
      </c>
      <c r="H117" s="40">
        <f t="shared" si="13"/>
        <v>429.36579000000006</v>
      </c>
      <c r="I117" s="41">
        <f t="shared" si="11"/>
        <v>80730643.933170006</v>
      </c>
      <c r="K117" s="103"/>
      <c r="L117" s="103" t="s">
        <v>83</v>
      </c>
      <c r="M117" s="103">
        <f>99*N115</f>
        <v>110.88000000000001</v>
      </c>
      <c r="N117" s="103"/>
      <c r="O117" s="103">
        <f>M117*$P$115</f>
        <v>956.56176000000016</v>
      </c>
      <c r="P117" s="103"/>
      <c r="Q117" s="103"/>
    </row>
    <row r="118" spans="2:17" x14ac:dyDescent="0.35">
      <c r="B118" s="35" t="s">
        <v>58</v>
      </c>
      <c r="C118" s="36" t="s">
        <v>168</v>
      </c>
      <c r="D118" s="42">
        <v>166620</v>
      </c>
      <c r="E118" s="37">
        <v>2017</v>
      </c>
      <c r="F118" s="38" t="str">
        <f t="shared" si="12"/>
        <v>NA</v>
      </c>
      <c r="G118" s="5" t="s">
        <v>84</v>
      </c>
      <c r="H118" s="40" t="str">
        <f t="shared" si="13"/>
        <v>NA</v>
      </c>
      <c r="I118" s="41" t="str">
        <f t="shared" si="11"/>
        <v>NA</v>
      </c>
      <c r="K118" s="103"/>
      <c r="L118" s="103" t="s">
        <v>123</v>
      </c>
      <c r="M118" s="103">
        <f>75*N115</f>
        <v>84.000000000000014</v>
      </c>
      <c r="N118" s="103"/>
      <c r="O118" s="103">
        <f>M118*$P$115</f>
        <v>724.66800000000023</v>
      </c>
      <c r="P118" s="103"/>
      <c r="Q118" s="103"/>
    </row>
    <row r="119" spans="2:17" x14ac:dyDescent="0.35">
      <c r="B119" s="35" t="s">
        <v>6</v>
      </c>
      <c r="C119" s="36" t="s">
        <v>96</v>
      </c>
      <c r="D119" s="43">
        <v>166401</v>
      </c>
      <c r="E119" s="39">
        <v>2018</v>
      </c>
      <c r="F119" s="38">
        <f t="shared" si="12"/>
        <v>0.14000000000000001</v>
      </c>
      <c r="G119" s="4" t="s">
        <v>86</v>
      </c>
      <c r="H119" s="40">
        <f t="shared" si="13"/>
        <v>613.29343000000006</v>
      </c>
      <c r="I119" s="41">
        <f t="shared" si="11"/>
        <v>102052640.04543</v>
      </c>
      <c r="K119" s="103"/>
      <c r="L119" s="103" t="s">
        <v>104</v>
      </c>
      <c r="M119" s="103">
        <f>63*N115</f>
        <v>70.56</v>
      </c>
      <c r="N119" s="103"/>
      <c r="O119" s="103">
        <f>M119*$P$115</f>
        <v>608.72112000000004</v>
      </c>
      <c r="P119" s="103"/>
      <c r="Q119" s="103"/>
    </row>
    <row r="120" spans="2:17" x14ac:dyDescent="0.35">
      <c r="B120" s="35" t="s">
        <v>169</v>
      </c>
      <c r="C120" s="36" t="s">
        <v>97</v>
      </c>
      <c r="D120" s="43">
        <v>165315</v>
      </c>
      <c r="E120" s="39">
        <v>2018</v>
      </c>
      <c r="F120" s="38">
        <f t="shared" si="12"/>
        <v>0.21729999999999999</v>
      </c>
      <c r="G120" s="4" t="s">
        <v>86</v>
      </c>
      <c r="H120" s="40">
        <f t="shared" si="13"/>
        <v>589.78</v>
      </c>
      <c r="I120" s="41">
        <f t="shared" si="11"/>
        <v>97499480.699999988</v>
      </c>
    </row>
    <row r="121" spans="2:17" x14ac:dyDescent="0.35">
      <c r="B121" s="35" t="s">
        <v>56</v>
      </c>
      <c r="C121" s="36" t="s">
        <v>85</v>
      </c>
      <c r="D121" s="43">
        <v>159000</v>
      </c>
      <c r="E121" s="37">
        <v>2016</v>
      </c>
      <c r="F121" s="38">
        <f t="shared" si="12"/>
        <v>0.2</v>
      </c>
      <c r="G121" s="5" t="s">
        <v>93</v>
      </c>
      <c r="H121" s="40">
        <f t="shared" si="13"/>
        <v>573</v>
      </c>
      <c r="I121" s="41">
        <f t="shared" si="11"/>
        <v>91107000</v>
      </c>
    </row>
    <row r="122" spans="2:17" x14ac:dyDescent="0.35">
      <c r="B122" s="35" t="s">
        <v>170</v>
      </c>
      <c r="C122" s="36" t="s">
        <v>85</v>
      </c>
      <c r="D122" s="43">
        <v>153371</v>
      </c>
      <c r="E122" s="39">
        <v>2018</v>
      </c>
      <c r="F122" s="38">
        <f t="shared" si="12"/>
        <v>0.2</v>
      </c>
      <c r="G122" s="4" t="s">
        <v>86</v>
      </c>
      <c r="H122" s="40">
        <f t="shared" si="13"/>
        <v>573</v>
      </c>
      <c r="I122" s="41">
        <f t="shared" si="11"/>
        <v>87881583</v>
      </c>
    </row>
    <row r="123" spans="2:17" x14ac:dyDescent="0.35">
      <c r="B123" s="35" t="s">
        <v>9</v>
      </c>
      <c r="C123" s="36" t="s">
        <v>97</v>
      </c>
      <c r="D123" s="42">
        <v>173540</v>
      </c>
      <c r="E123" s="37">
        <v>2017</v>
      </c>
      <c r="F123" s="38">
        <f t="shared" si="12"/>
        <v>0.21729999999999999</v>
      </c>
      <c r="G123" s="5" t="s">
        <v>84</v>
      </c>
      <c r="H123" s="40">
        <f t="shared" si="13"/>
        <v>589.78</v>
      </c>
      <c r="I123" s="41">
        <f t="shared" si="11"/>
        <v>102350421.19999999</v>
      </c>
    </row>
    <row r="124" spans="2:17" x14ac:dyDescent="0.35">
      <c r="B124" s="35" t="s">
        <v>68</v>
      </c>
      <c r="C124" s="36" t="s">
        <v>103</v>
      </c>
      <c r="D124" s="42">
        <v>142290</v>
      </c>
      <c r="E124" s="37">
        <v>2017</v>
      </c>
      <c r="F124" s="38">
        <f t="shared" si="12"/>
        <v>5.0000000000000001E-3</v>
      </c>
      <c r="G124" s="5" t="s">
        <v>84</v>
      </c>
      <c r="H124" s="40">
        <f t="shared" si="13"/>
        <v>724.66800000000023</v>
      </c>
      <c r="I124" s="41">
        <f t="shared" si="11"/>
        <v>103113009.72000003</v>
      </c>
    </row>
    <row r="125" spans="2:17" x14ac:dyDescent="0.35">
      <c r="B125" s="35" t="s">
        <v>171</v>
      </c>
      <c r="C125" s="36" t="s">
        <v>85</v>
      </c>
      <c r="D125" s="43">
        <v>132093</v>
      </c>
      <c r="E125" s="39">
        <v>2018</v>
      </c>
      <c r="F125" s="38">
        <f t="shared" si="12"/>
        <v>0.2</v>
      </c>
      <c r="G125" s="4" t="s">
        <v>86</v>
      </c>
      <c r="H125" s="40">
        <f t="shared" si="13"/>
        <v>573</v>
      </c>
      <c r="I125" s="41">
        <f t="shared" si="11"/>
        <v>75689289</v>
      </c>
    </row>
    <row r="126" spans="2:17" x14ac:dyDescent="0.35">
      <c r="B126" s="35" t="s">
        <v>59</v>
      </c>
      <c r="C126" s="36" t="s">
        <v>83</v>
      </c>
      <c r="D126" s="43">
        <v>145135</v>
      </c>
      <c r="E126" s="39">
        <v>2018</v>
      </c>
      <c r="F126" s="38">
        <f t="shared" si="12"/>
        <v>0.08</v>
      </c>
      <c r="G126" s="4" t="s">
        <v>86</v>
      </c>
      <c r="H126" s="40">
        <f t="shared" si="13"/>
        <v>956.56176000000016</v>
      </c>
      <c r="I126" s="41">
        <f t="shared" si="11"/>
        <v>138830591.03760001</v>
      </c>
    </row>
    <row r="127" spans="2:17" x14ac:dyDescent="0.35">
      <c r="B127" s="35" t="s">
        <v>172</v>
      </c>
      <c r="C127" s="36" t="s">
        <v>94</v>
      </c>
      <c r="D127" s="43">
        <v>155533</v>
      </c>
      <c r="E127" s="39">
        <v>2018</v>
      </c>
      <c r="F127" s="38">
        <f t="shared" si="12"/>
        <v>0.06</v>
      </c>
      <c r="G127" s="4" t="s">
        <v>86</v>
      </c>
      <c r="H127" s="40">
        <f t="shared" si="13"/>
        <v>608.72112000000004</v>
      </c>
      <c r="I127" s="41">
        <f t="shared" si="11"/>
        <v>94676221.956960008</v>
      </c>
    </row>
    <row r="128" spans="2:17" x14ac:dyDescent="0.35">
      <c r="B128" s="35" t="s">
        <v>173</v>
      </c>
      <c r="C128" s="36" t="s">
        <v>136</v>
      </c>
      <c r="D128" s="43">
        <v>140748</v>
      </c>
      <c r="E128" s="39">
        <v>2018</v>
      </c>
      <c r="F128" s="38" t="str">
        <f t="shared" si="12"/>
        <v>NA</v>
      </c>
      <c r="G128" s="4" t="s">
        <v>86</v>
      </c>
      <c r="H128" s="40" t="str">
        <f t="shared" si="13"/>
        <v>NA</v>
      </c>
      <c r="I128" s="41" t="str">
        <f t="shared" ref="I128:I147" si="14">IF(ISNUMBER(H128),H128*D128,"NA")</f>
        <v>NA</v>
      </c>
    </row>
    <row r="129" spans="2:9" x14ac:dyDescent="0.35">
      <c r="B129" s="35" t="s">
        <v>174</v>
      </c>
      <c r="C129" s="36" t="s">
        <v>92</v>
      </c>
      <c r="D129" s="43">
        <v>101785</v>
      </c>
      <c r="E129" s="39">
        <v>2018</v>
      </c>
      <c r="F129" s="38">
        <f t="shared" si="12"/>
        <v>0.22489999999999999</v>
      </c>
      <c r="G129" s="4" t="s">
        <v>86</v>
      </c>
      <c r="H129" s="40">
        <f t="shared" si="13"/>
        <v>906.79</v>
      </c>
      <c r="I129" s="41">
        <f t="shared" si="14"/>
        <v>92297620.149999991</v>
      </c>
    </row>
    <row r="130" spans="2:9" x14ac:dyDescent="0.35">
      <c r="B130" s="35" t="s">
        <v>25</v>
      </c>
      <c r="C130" s="36" t="s">
        <v>97</v>
      </c>
      <c r="D130" s="42">
        <v>136850</v>
      </c>
      <c r="E130" s="37">
        <v>2017</v>
      </c>
      <c r="F130" s="38">
        <f t="shared" si="12"/>
        <v>0.21729999999999999</v>
      </c>
      <c r="G130" s="5" t="s">
        <v>84</v>
      </c>
      <c r="H130" s="40">
        <f t="shared" si="13"/>
        <v>589.78</v>
      </c>
      <c r="I130" s="41">
        <f t="shared" si="14"/>
        <v>80711393</v>
      </c>
    </row>
    <row r="131" spans="2:9" x14ac:dyDescent="0.35">
      <c r="B131" s="35" t="s">
        <v>175</v>
      </c>
      <c r="C131" s="36" t="s">
        <v>97</v>
      </c>
      <c r="D131" s="43">
        <v>134578</v>
      </c>
      <c r="E131" s="39">
        <v>2018</v>
      </c>
      <c r="F131" s="38">
        <f t="shared" si="12"/>
        <v>0.21729999999999999</v>
      </c>
      <c r="G131" s="4" t="s">
        <v>86</v>
      </c>
      <c r="H131" s="40">
        <f t="shared" si="13"/>
        <v>589.78</v>
      </c>
      <c r="I131" s="41">
        <f t="shared" si="14"/>
        <v>79371412.840000004</v>
      </c>
    </row>
    <row r="132" spans="2:9" x14ac:dyDescent="0.35">
      <c r="B132" s="35" t="s">
        <v>4</v>
      </c>
      <c r="C132" s="36" t="s">
        <v>85</v>
      </c>
      <c r="D132" s="43">
        <v>137269</v>
      </c>
      <c r="E132" s="39">
        <v>2018</v>
      </c>
      <c r="F132" s="38">
        <f t="shared" si="12"/>
        <v>0.2</v>
      </c>
      <c r="G132" s="4" t="s">
        <v>86</v>
      </c>
      <c r="H132" s="40">
        <f t="shared" si="13"/>
        <v>573</v>
      </c>
      <c r="I132" s="41">
        <f t="shared" si="14"/>
        <v>78655137</v>
      </c>
    </row>
    <row r="133" spans="2:9" x14ac:dyDescent="0.35">
      <c r="B133" s="35" t="s">
        <v>27</v>
      </c>
      <c r="C133" s="36" t="s">
        <v>94</v>
      </c>
      <c r="D133" s="43">
        <v>137000</v>
      </c>
      <c r="E133" s="37">
        <v>2016</v>
      </c>
      <c r="F133" s="38">
        <f t="shared" ref="F133:F147" si="15">IF(C133=$K$5,$L$5,IF(C133=$K$6,$L$6,IF(C133=$K$7,$L$7,IF(C133=$K$8,$L$8,IF(C133=$K$9,$L$9,IF(C133=$K$10,$L$10,IF(C133=$K$11,$L$11,IF(C133=$K$12,$L$12,IF(C133=$K$13,$L$13,IF(C133=$K$14,$L$14,"NA"))))))))))</f>
        <v>0.06</v>
      </c>
      <c r="G133" s="5" t="s">
        <v>93</v>
      </c>
      <c r="H133" s="40">
        <f t="shared" ref="H133:H147" si="16">IF(C133=$K$5,$M$5,IF(C133=$K$6,$M$6,IF(C133=$K$7,$M$7,IF(C133=$K$8,$M$8,IF(C133=$K$9,$M$9,IF(C133=$K$10,$M$10,IF(C133=$K$11,$M$11,IF(C133=$K$12,$M$12,IF(C133=$K$13,$M$13,IF(C133=$K$14,$M$14,IF(C133=$K$15,$M$15,IF(C133=$K$16,$M$16,"NA"))))))))))))</f>
        <v>608.72112000000004</v>
      </c>
      <c r="I133" s="41">
        <f t="shared" si="14"/>
        <v>83394793.440000013</v>
      </c>
    </row>
    <row r="134" spans="2:9" x14ac:dyDescent="0.35">
      <c r="B134" s="35" t="s">
        <v>176</v>
      </c>
      <c r="C134" s="36" t="s">
        <v>105</v>
      </c>
      <c r="D134" s="43">
        <v>125050</v>
      </c>
      <c r="E134" s="39">
        <v>2018</v>
      </c>
      <c r="F134" s="38" t="str">
        <f t="shared" si="15"/>
        <v>NA</v>
      </c>
      <c r="G134" s="4" t="s">
        <v>86</v>
      </c>
      <c r="H134" s="40">
        <f t="shared" si="16"/>
        <v>286.24386000000004</v>
      </c>
      <c r="I134" s="41">
        <f t="shared" si="14"/>
        <v>35794794.693000004</v>
      </c>
    </row>
    <row r="135" spans="2:9" x14ac:dyDescent="0.35">
      <c r="B135" s="35" t="s">
        <v>177</v>
      </c>
      <c r="C135" s="36" t="s">
        <v>106</v>
      </c>
      <c r="D135" s="43">
        <v>124840</v>
      </c>
      <c r="E135" s="39">
        <v>2018</v>
      </c>
      <c r="F135" s="38" t="str">
        <f t="shared" si="15"/>
        <v>NA</v>
      </c>
      <c r="G135" s="4" t="s">
        <v>86</v>
      </c>
      <c r="H135" s="40">
        <f t="shared" si="16"/>
        <v>429.36579000000006</v>
      </c>
      <c r="I135" s="41">
        <f t="shared" si="14"/>
        <v>53602025.223600008</v>
      </c>
    </row>
    <row r="136" spans="2:9" x14ac:dyDescent="0.35">
      <c r="B136" s="35" t="s">
        <v>178</v>
      </c>
      <c r="C136" s="36" t="s">
        <v>105</v>
      </c>
      <c r="D136" s="43">
        <v>129832</v>
      </c>
      <c r="E136" s="39">
        <v>2018</v>
      </c>
      <c r="F136" s="38" t="str">
        <f t="shared" si="15"/>
        <v>NA</v>
      </c>
      <c r="G136" s="4" t="s">
        <v>86</v>
      </c>
      <c r="H136" s="40">
        <f t="shared" si="16"/>
        <v>286.24386000000004</v>
      </c>
      <c r="I136" s="41">
        <f t="shared" si="14"/>
        <v>37163612.831520006</v>
      </c>
    </row>
    <row r="137" spans="2:9" x14ac:dyDescent="0.35">
      <c r="B137" s="35" t="s">
        <v>179</v>
      </c>
      <c r="C137" s="36" t="s">
        <v>106</v>
      </c>
      <c r="D137" s="43">
        <v>137639</v>
      </c>
      <c r="E137" s="39">
        <v>2018</v>
      </c>
      <c r="F137" s="38" t="str">
        <f t="shared" si="15"/>
        <v>NA</v>
      </c>
      <c r="G137" s="4" t="s">
        <v>86</v>
      </c>
      <c r="H137" s="40">
        <f t="shared" si="16"/>
        <v>429.36579000000006</v>
      </c>
      <c r="I137" s="41">
        <f t="shared" si="14"/>
        <v>59097477.969810009</v>
      </c>
    </row>
    <row r="138" spans="2:9" x14ac:dyDescent="0.35">
      <c r="B138" s="35" t="s">
        <v>180</v>
      </c>
      <c r="C138" s="36" t="s">
        <v>106</v>
      </c>
      <c r="D138" s="43">
        <v>134000</v>
      </c>
      <c r="E138" s="39">
        <v>2018</v>
      </c>
      <c r="F138" s="38" t="str">
        <f t="shared" si="15"/>
        <v>NA</v>
      </c>
      <c r="G138" s="4" t="s">
        <v>86</v>
      </c>
      <c r="H138" s="40">
        <f t="shared" si="16"/>
        <v>429.36579000000006</v>
      </c>
      <c r="I138" s="41">
        <f t="shared" si="14"/>
        <v>57535015.860000007</v>
      </c>
    </row>
    <row r="139" spans="2:9" x14ac:dyDescent="0.35">
      <c r="B139" s="35" t="s">
        <v>181</v>
      </c>
      <c r="C139" s="36" t="s">
        <v>96</v>
      </c>
      <c r="D139" s="43">
        <v>103863</v>
      </c>
      <c r="E139" s="39">
        <v>2018</v>
      </c>
      <c r="F139" s="38">
        <f t="shared" si="15"/>
        <v>0.14000000000000001</v>
      </c>
      <c r="G139" s="4" t="s">
        <v>86</v>
      </c>
      <c r="H139" s="40">
        <f t="shared" si="16"/>
        <v>613.29343000000006</v>
      </c>
      <c r="I139" s="41">
        <f t="shared" si="14"/>
        <v>63698495.520090006</v>
      </c>
    </row>
    <row r="140" spans="2:9" x14ac:dyDescent="0.35">
      <c r="B140" s="35" t="s">
        <v>182</v>
      </c>
      <c r="C140" s="36" t="s">
        <v>85</v>
      </c>
      <c r="D140" s="43">
        <v>120866</v>
      </c>
      <c r="E140" s="39">
        <v>2018</v>
      </c>
      <c r="F140" s="38">
        <f t="shared" si="15"/>
        <v>0.2</v>
      </c>
      <c r="G140" s="4" t="s">
        <v>86</v>
      </c>
      <c r="H140" s="40">
        <f t="shared" si="16"/>
        <v>573</v>
      </c>
      <c r="I140" s="41">
        <f t="shared" si="14"/>
        <v>69256218</v>
      </c>
    </row>
    <row r="141" spans="2:9" x14ac:dyDescent="0.35">
      <c r="B141" s="35" t="s">
        <v>40</v>
      </c>
      <c r="C141" s="36" t="s">
        <v>85</v>
      </c>
      <c r="D141" s="43">
        <v>120000</v>
      </c>
      <c r="E141" s="37">
        <v>2016</v>
      </c>
      <c r="F141" s="38">
        <f t="shared" si="15"/>
        <v>0.2</v>
      </c>
      <c r="G141" s="5" t="s">
        <v>93</v>
      </c>
      <c r="H141" s="40">
        <f t="shared" si="16"/>
        <v>573</v>
      </c>
      <c r="I141" s="41">
        <f t="shared" si="14"/>
        <v>68760000</v>
      </c>
    </row>
    <row r="142" spans="2:9" x14ac:dyDescent="0.35">
      <c r="B142" s="35" t="s">
        <v>183</v>
      </c>
      <c r="C142" s="36" t="s">
        <v>106</v>
      </c>
      <c r="D142" s="43">
        <v>166019</v>
      </c>
      <c r="E142" s="39">
        <v>2018</v>
      </c>
      <c r="F142" s="38" t="str">
        <f t="shared" si="15"/>
        <v>NA</v>
      </c>
      <c r="G142" s="4" t="s">
        <v>86</v>
      </c>
      <c r="H142" s="40">
        <f t="shared" si="16"/>
        <v>429.36579000000006</v>
      </c>
      <c r="I142" s="41">
        <f t="shared" si="14"/>
        <v>71282879.090010017</v>
      </c>
    </row>
    <row r="143" spans="2:9" x14ac:dyDescent="0.35">
      <c r="B143" s="35" t="s">
        <v>65</v>
      </c>
      <c r="C143" s="36" t="s">
        <v>85</v>
      </c>
      <c r="D143" s="43">
        <v>108000</v>
      </c>
      <c r="E143" s="37">
        <v>2016</v>
      </c>
      <c r="F143" s="38">
        <f t="shared" si="15"/>
        <v>0.2</v>
      </c>
      <c r="G143" s="5" t="s">
        <v>93</v>
      </c>
      <c r="H143" s="40">
        <f t="shared" si="16"/>
        <v>573</v>
      </c>
      <c r="I143" s="41">
        <f t="shared" si="14"/>
        <v>61884000</v>
      </c>
    </row>
    <row r="144" spans="2:9" x14ac:dyDescent="0.35">
      <c r="B144" s="35" t="s">
        <v>184</v>
      </c>
      <c r="C144" s="36" t="s">
        <v>136</v>
      </c>
      <c r="D144" s="43">
        <v>102040</v>
      </c>
      <c r="E144" s="39">
        <v>2018</v>
      </c>
      <c r="F144" s="38" t="str">
        <f t="shared" si="15"/>
        <v>NA</v>
      </c>
      <c r="G144" s="4" t="s">
        <v>86</v>
      </c>
      <c r="H144" s="40" t="str">
        <f t="shared" si="16"/>
        <v>NA</v>
      </c>
      <c r="I144" s="41" t="str">
        <f t="shared" si="14"/>
        <v>NA</v>
      </c>
    </row>
    <row r="145" spans="2:13" x14ac:dyDescent="0.35">
      <c r="B145" s="35" t="s">
        <v>37</v>
      </c>
      <c r="C145" s="36" t="s">
        <v>103</v>
      </c>
      <c r="D145" s="42">
        <v>104400</v>
      </c>
      <c r="E145" s="37">
        <v>2017</v>
      </c>
      <c r="F145" s="38">
        <f t="shared" si="15"/>
        <v>5.0000000000000001E-3</v>
      </c>
      <c r="G145" s="5" t="s">
        <v>84</v>
      </c>
      <c r="H145" s="40">
        <f t="shared" si="16"/>
        <v>724.66800000000023</v>
      </c>
      <c r="I145" s="41">
        <f t="shared" si="14"/>
        <v>75655339.200000018</v>
      </c>
    </row>
    <row r="146" spans="2:13" x14ac:dyDescent="0.35">
      <c r="B146" s="35" t="s">
        <v>185</v>
      </c>
      <c r="C146" s="36" t="s">
        <v>94</v>
      </c>
      <c r="D146" s="43">
        <v>200894</v>
      </c>
      <c r="E146" s="39">
        <v>2018</v>
      </c>
      <c r="F146" s="38">
        <f t="shared" si="15"/>
        <v>0.06</v>
      </c>
      <c r="G146" s="4" t="s">
        <v>86</v>
      </c>
      <c r="H146" s="40">
        <f t="shared" si="16"/>
        <v>608.72112000000004</v>
      </c>
      <c r="I146" s="41">
        <f t="shared" si="14"/>
        <v>122288420.68128</v>
      </c>
    </row>
    <row r="147" spans="2:13" x14ac:dyDescent="0.35">
      <c r="B147" s="35" t="s">
        <v>186</v>
      </c>
      <c r="C147" s="36" t="s">
        <v>106</v>
      </c>
      <c r="D147" s="43">
        <v>101709</v>
      </c>
      <c r="E147" s="39">
        <v>2018</v>
      </c>
      <c r="F147" s="38" t="str">
        <f t="shared" si="15"/>
        <v>NA</v>
      </c>
      <c r="G147" s="4" t="s">
        <v>86</v>
      </c>
      <c r="H147" s="40">
        <f t="shared" si="16"/>
        <v>429.36579000000006</v>
      </c>
      <c r="I147" s="41">
        <f t="shared" si="14"/>
        <v>43670365.135110006</v>
      </c>
    </row>
    <row r="153" spans="2:13" x14ac:dyDescent="0.35">
      <c r="M153" s="3"/>
    </row>
  </sheetData>
  <autoFilter ref="B4:I147" xr:uid="{05F2B4E0-074F-41BD-B4D3-05A46DFD1FAB}"/>
  <conditionalFormatting sqref="G5:G147">
    <cfRule type="cellIs" dxfId="3" priority="1" operator="equal">
      <formula>"Sweden"</formula>
    </cfRule>
    <cfRule type="cellIs" dxfId="2" priority="2" operator="equal">
      <formula>"Norway"</formula>
    </cfRule>
    <cfRule type="cellIs" dxfId="1" priority="3" operator="equal">
      <formula>"Denmark"</formula>
    </cfRule>
    <cfRule type="cellIs" dxfId="0" priority="4" operator="equal">
      <formula>"Norway"</formula>
    </cfRule>
  </conditionalFormatting>
  <dataValidations count="2">
    <dataValidation type="list" allowBlank="1" showInputMessage="1" showErrorMessage="1" sqref="B53" xr:uid="{495E3F52-EEF1-6941-B7EF-B478890C28E3}">
      <formula1>$K$87:$K$90</formula1>
    </dataValidation>
    <dataValidation type="list" allowBlank="1" showInputMessage="1" showErrorMessage="1" sqref="B32" xr:uid="{5784BE5C-3C37-6949-A287-4E55ACF441A2}">
      <formula1>$K$92:$K$94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F23A4-9425-422A-B38C-5645524EF2EB}">
  <dimension ref="A2:AA71"/>
  <sheetViews>
    <sheetView topLeftCell="A4" zoomScale="50" zoomScaleNormal="42" workbookViewId="0">
      <selection activeCell="AD8" sqref="AD8"/>
    </sheetView>
  </sheetViews>
  <sheetFormatPr baseColWidth="10" defaultColWidth="8" defaultRowHeight="14.5" x14ac:dyDescent="0.35"/>
  <cols>
    <col min="1" max="1" width="8" style="8"/>
    <col min="2" max="2" width="10" style="8" customWidth="1"/>
    <col min="3" max="3" width="8.33203125" style="8" customWidth="1"/>
    <col min="4" max="4" width="7.83203125" style="8" customWidth="1"/>
    <col min="5" max="5" width="11.1640625" style="8" customWidth="1"/>
    <col min="6" max="6" width="21.83203125" style="8" customWidth="1"/>
    <col min="7" max="8" width="10.5" style="8" customWidth="1"/>
    <col min="9" max="9" width="11.1640625" style="8" customWidth="1"/>
    <col min="10" max="10" width="26.83203125" style="8" customWidth="1"/>
    <col min="11" max="11" width="11.1640625" style="8" customWidth="1"/>
    <col min="12" max="12" width="10.6640625" style="8" customWidth="1"/>
    <col min="13" max="13" width="9.6640625" style="8" customWidth="1"/>
    <col min="14" max="14" width="31.33203125" style="8" customWidth="1"/>
    <col min="15" max="17" width="9.33203125" style="8" customWidth="1"/>
    <col min="18" max="18" width="6.5" style="8" customWidth="1"/>
    <col min="19" max="19" width="9.33203125" style="8" customWidth="1"/>
    <col min="20" max="16384" width="8" style="8"/>
  </cols>
  <sheetData>
    <row r="2" spans="2:27" ht="15.5" customHeight="1" x14ac:dyDescent="0.35">
      <c r="B2" s="204" t="s">
        <v>253</v>
      </c>
      <c r="C2" s="204"/>
      <c r="D2" s="204"/>
      <c r="E2" s="204"/>
      <c r="F2" s="204"/>
      <c r="G2" s="204"/>
    </row>
    <row r="3" spans="2:27" ht="15" customHeight="1" x14ac:dyDescent="0.35">
      <c r="B3" s="205"/>
      <c r="C3" s="205"/>
      <c r="D3" s="205"/>
      <c r="E3" s="205"/>
      <c r="F3" s="205"/>
      <c r="G3" s="205"/>
      <c r="H3" s="120"/>
      <c r="I3" s="120"/>
      <c r="J3" s="120"/>
      <c r="K3" s="120"/>
    </row>
    <row r="4" spans="2:27" ht="19" customHeight="1" x14ac:dyDescent="0.35">
      <c r="B4" s="149"/>
      <c r="C4" s="206" t="s">
        <v>237</v>
      </c>
      <c r="D4" s="206"/>
      <c r="E4" s="138" t="s">
        <v>196</v>
      </c>
      <c r="F4" s="138" t="s">
        <v>197</v>
      </c>
      <c r="G4" s="207" t="s">
        <v>198</v>
      </c>
      <c r="H4" s="207"/>
      <c r="I4" s="139" t="s">
        <v>196</v>
      </c>
      <c r="J4" s="139" t="s">
        <v>197</v>
      </c>
      <c r="K4" s="208" t="s">
        <v>199</v>
      </c>
      <c r="L4" s="208"/>
      <c r="M4" s="140" t="s">
        <v>196</v>
      </c>
      <c r="N4" s="140" t="s">
        <v>197</v>
      </c>
      <c r="P4" s="111"/>
    </row>
    <row r="5" spans="2:27" ht="76" customHeight="1" x14ac:dyDescent="0.35">
      <c r="B5" s="150"/>
      <c r="C5" s="121">
        <v>53</v>
      </c>
      <c r="D5" s="122">
        <f t="shared" ref="D5:D16" si="0">C5*$K$32</f>
        <v>453.49921700000004</v>
      </c>
      <c r="E5" s="123">
        <v>0.15</v>
      </c>
      <c r="F5" s="124" t="s">
        <v>201</v>
      </c>
      <c r="G5" s="125">
        <v>87</v>
      </c>
      <c r="H5" s="126">
        <f t="shared" ref="H5:H14" si="1">G5*$K$32</f>
        <v>744.42324300000007</v>
      </c>
      <c r="I5" s="127">
        <f>(14+33)/2*0.01</f>
        <v>0.23500000000000001</v>
      </c>
      <c r="J5" s="128" t="s">
        <v>202</v>
      </c>
      <c r="K5" s="141">
        <v>42</v>
      </c>
      <c r="L5" s="162">
        <f t="shared" ref="L5:L12" si="2">K5*$K$32</f>
        <v>359.37673800000005</v>
      </c>
      <c r="M5" s="142">
        <v>1</v>
      </c>
      <c r="N5" s="143" t="s">
        <v>202</v>
      </c>
      <c r="P5" s="164"/>
      <c r="S5" s="119"/>
    </row>
    <row r="6" spans="2:27" ht="58" x14ac:dyDescent="0.35">
      <c r="B6" s="150"/>
      <c r="C6" s="121">
        <v>115</v>
      </c>
      <c r="D6" s="122">
        <f t="shared" si="0"/>
        <v>984.00773500000003</v>
      </c>
      <c r="E6" s="123">
        <v>0.22</v>
      </c>
      <c r="F6" s="131" t="s">
        <v>205</v>
      </c>
      <c r="G6" s="125">
        <v>192</v>
      </c>
      <c r="H6" s="126">
        <f t="shared" si="1"/>
        <v>1642.865088</v>
      </c>
      <c r="I6" s="127">
        <v>0.22220000000000001</v>
      </c>
      <c r="J6" s="128" t="s">
        <v>205</v>
      </c>
      <c r="K6" s="141">
        <v>34</v>
      </c>
      <c r="L6" s="162">
        <f t="shared" si="2"/>
        <v>290.92402600000003</v>
      </c>
      <c r="M6" s="142">
        <v>1</v>
      </c>
      <c r="N6" s="143" t="s">
        <v>205</v>
      </c>
    </row>
    <row r="7" spans="2:27" ht="58" x14ac:dyDescent="0.35">
      <c r="B7" s="150"/>
      <c r="C7" s="121">
        <v>73</v>
      </c>
      <c r="D7" s="122">
        <f t="shared" si="0"/>
        <v>624.63099700000009</v>
      </c>
      <c r="E7" s="123">
        <v>0.22</v>
      </c>
      <c r="F7" s="131" t="s">
        <v>206</v>
      </c>
      <c r="G7" s="125">
        <v>133</v>
      </c>
      <c r="H7" s="126">
        <f t="shared" si="1"/>
        <v>1138.026337</v>
      </c>
      <c r="I7" s="127">
        <v>0.22220000000000001</v>
      </c>
      <c r="J7" s="128" t="s">
        <v>206</v>
      </c>
      <c r="K7" s="141">
        <v>30</v>
      </c>
      <c r="L7" s="162">
        <f t="shared" si="2"/>
        <v>256.69767000000002</v>
      </c>
      <c r="M7" s="142">
        <v>1</v>
      </c>
      <c r="N7" s="143" t="s">
        <v>206</v>
      </c>
      <c r="U7" s="11"/>
    </row>
    <row r="8" spans="2:27" ht="63" customHeight="1" x14ac:dyDescent="0.35">
      <c r="B8" s="150"/>
      <c r="C8" s="121">
        <v>108</v>
      </c>
      <c r="D8" s="122">
        <f t="shared" si="0"/>
        <v>924.11161200000004</v>
      </c>
      <c r="E8" s="123">
        <v>0.23</v>
      </c>
      <c r="F8" s="131" t="s">
        <v>208</v>
      </c>
      <c r="G8" s="125">
        <v>104</v>
      </c>
      <c r="H8" s="126">
        <f t="shared" si="1"/>
        <v>889.88525600000003</v>
      </c>
      <c r="I8" s="127">
        <v>0.224</v>
      </c>
      <c r="J8" s="128" t="s">
        <v>208</v>
      </c>
      <c r="K8" s="141">
        <v>29</v>
      </c>
      <c r="L8" s="162">
        <f t="shared" si="2"/>
        <v>248.14108100000001</v>
      </c>
      <c r="M8" s="142">
        <v>0.97099999999999997</v>
      </c>
      <c r="N8" s="143" t="s">
        <v>208</v>
      </c>
      <c r="U8" s="11"/>
    </row>
    <row r="9" spans="2:27" ht="58" x14ac:dyDescent="0.35">
      <c r="B9" s="150"/>
      <c r="C9" s="121">
        <v>110</v>
      </c>
      <c r="D9" s="122">
        <f t="shared" si="0"/>
        <v>941.2247900000001</v>
      </c>
      <c r="E9" s="123">
        <v>0.26</v>
      </c>
      <c r="F9" s="131" t="s">
        <v>209</v>
      </c>
      <c r="G9" s="125">
        <v>109</v>
      </c>
      <c r="H9" s="126">
        <f t="shared" si="1"/>
        <v>932.66820100000007</v>
      </c>
      <c r="I9" s="127">
        <v>0.224</v>
      </c>
      <c r="J9" s="128" t="s">
        <v>210</v>
      </c>
      <c r="K9" s="141">
        <v>29</v>
      </c>
      <c r="L9" s="162">
        <f t="shared" si="2"/>
        <v>248.14108100000001</v>
      </c>
      <c r="M9" s="142">
        <v>0.97099999999999997</v>
      </c>
      <c r="N9" s="143" t="s">
        <v>210</v>
      </c>
      <c r="U9" s="111"/>
      <c r="X9" s="111"/>
    </row>
    <row r="10" spans="2:27" ht="29" x14ac:dyDescent="0.35">
      <c r="B10" s="150"/>
      <c r="C10" s="121">
        <v>31</v>
      </c>
      <c r="D10" s="122">
        <f t="shared" si="0"/>
        <v>265.25425900000005</v>
      </c>
      <c r="E10" s="123"/>
      <c r="F10" s="130" t="s">
        <v>213</v>
      </c>
      <c r="G10" s="125">
        <v>164</v>
      </c>
      <c r="H10" s="126">
        <f t="shared" si="1"/>
        <v>1403.2805960000001</v>
      </c>
      <c r="I10" s="127">
        <v>0.22220000000000001</v>
      </c>
      <c r="J10" s="128" t="s">
        <v>212</v>
      </c>
      <c r="K10" s="141">
        <v>31</v>
      </c>
      <c r="L10" s="162">
        <f t="shared" si="2"/>
        <v>265.25425900000005</v>
      </c>
      <c r="M10" s="144"/>
      <c r="N10" s="143" t="s">
        <v>214</v>
      </c>
    </row>
    <row r="11" spans="2:27" ht="29" x14ac:dyDescent="0.35">
      <c r="B11" s="150"/>
      <c r="C11" s="121">
        <v>37</v>
      </c>
      <c r="D11" s="122">
        <f t="shared" si="0"/>
        <v>316.59379300000001</v>
      </c>
      <c r="E11" s="123"/>
      <c r="F11" s="130" t="s">
        <v>215</v>
      </c>
      <c r="G11" s="125">
        <v>31</v>
      </c>
      <c r="H11" s="126">
        <f t="shared" si="1"/>
        <v>265.25425900000005</v>
      </c>
      <c r="I11" s="132"/>
      <c r="J11" s="128" t="s">
        <v>213</v>
      </c>
      <c r="K11" s="141">
        <v>23</v>
      </c>
      <c r="L11" s="162">
        <f t="shared" si="2"/>
        <v>196.80154700000003</v>
      </c>
      <c r="M11" s="144"/>
      <c r="N11" s="143" t="s">
        <v>218</v>
      </c>
      <c r="AA11" s="12"/>
    </row>
    <row r="12" spans="2:27" ht="31" customHeight="1" x14ac:dyDescent="0.35">
      <c r="B12" s="150"/>
      <c r="C12" s="121">
        <v>59</v>
      </c>
      <c r="D12" s="122">
        <f t="shared" si="0"/>
        <v>504.83875100000006</v>
      </c>
      <c r="E12" s="123"/>
      <c r="F12" s="133" t="s">
        <v>216</v>
      </c>
      <c r="G12" s="125">
        <v>43</v>
      </c>
      <c r="H12" s="126">
        <f t="shared" si="1"/>
        <v>367.93332700000002</v>
      </c>
      <c r="I12" s="132"/>
      <c r="J12" s="128" t="s">
        <v>215</v>
      </c>
      <c r="K12" s="141">
        <v>15</v>
      </c>
      <c r="L12" s="162">
        <f t="shared" si="2"/>
        <v>128.34883500000001</v>
      </c>
      <c r="M12" s="145"/>
      <c r="N12" s="143" t="s">
        <v>220</v>
      </c>
    </row>
    <row r="13" spans="2:27" ht="29" x14ac:dyDescent="0.35">
      <c r="B13" s="150"/>
      <c r="C13" s="121">
        <v>67</v>
      </c>
      <c r="D13" s="122">
        <f t="shared" si="0"/>
        <v>573.29146300000002</v>
      </c>
      <c r="E13" s="123"/>
      <c r="F13" s="133" t="s">
        <v>219</v>
      </c>
      <c r="G13" s="125">
        <v>117</v>
      </c>
      <c r="H13" s="126">
        <f t="shared" si="1"/>
        <v>1001.1209130000001</v>
      </c>
      <c r="I13" s="132"/>
      <c r="J13" s="134" t="s">
        <v>217</v>
      </c>
      <c r="K13" s="146"/>
      <c r="L13" s="162"/>
      <c r="M13" s="145"/>
      <c r="N13" s="145"/>
    </row>
    <row r="14" spans="2:27" ht="15.5" x14ac:dyDescent="0.35">
      <c r="B14" s="150"/>
      <c r="C14" s="135">
        <v>75</v>
      </c>
      <c r="D14" s="122">
        <f t="shared" si="0"/>
        <v>641.74417500000004</v>
      </c>
      <c r="E14" s="129"/>
      <c r="F14" s="133" t="s">
        <v>221</v>
      </c>
      <c r="G14" s="136">
        <v>80</v>
      </c>
      <c r="H14" s="126">
        <f t="shared" si="1"/>
        <v>684.52712000000008</v>
      </c>
      <c r="I14" s="128"/>
      <c r="J14" s="137"/>
      <c r="K14" s="147"/>
      <c r="L14" s="162"/>
      <c r="M14" s="145"/>
      <c r="N14" s="145"/>
    </row>
    <row r="15" spans="2:27" ht="15.5" x14ac:dyDescent="0.35">
      <c r="B15" s="150"/>
      <c r="C15" s="135">
        <v>37</v>
      </c>
      <c r="D15" s="122">
        <f t="shared" si="0"/>
        <v>316.59379300000001</v>
      </c>
      <c r="E15" s="129"/>
      <c r="F15" s="133" t="s">
        <v>222</v>
      </c>
      <c r="G15" s="136"/>
      <c r="H15" s="126"/>
      <c r="I15" s="128"/>
      <c r="J15" s="137"/>
      <c r="K15" s="147"/>
      <c r="L15" s="162"/>
      <c r="M15" s="145"/>
      <c r="N15" s="145"/>
    </row>
    <row r="16" spans="2:27" ht="15.5" x14ac:dyDescent="0.35">
      <c r="B16" s="150"/>
      <c r="C16" s="135">
        <v>61</v>
      </c>
      <c r="D16" s="122">
        <f t="shared" si="0"/>
        <v>521.95192900000006</v>
      </c>
      <c r="E16" s="129"/>
      <c r="F16" s="133" t="s">
        <v>223</v>
      </c>
      <c r="G16" s="136"/>
      <c r="H16" s="126"/>
      <c r="I16" s="128"/>
      <c r="J16" s="137"/>
      <c r="K16" s="147"/>
      <c r="L16" s="162"/>
      <c r="M16" s="145"/>
      <c r="N16" s="145"/>
    </row>
    <row r="17" spans="1:14" ht="15.5" x14ac:dyDescent="0.35">
      <c r="B17" s="150"/>
      <c r="C17" s="135"/>
      <c r="D17" s="122"/>
      <c r="E17" s="129"/>
      <c r="F17" s="133"/>
      <c r="G17" s="136"/>
      <c r="H17" s="126"/>
      <c r="I17" s="128"/>
      <c r="J17" s="137"/>
      <c r="K17" s="147"/>
      <c r="L17" s="162"/>
      <c r="M17" s="145"/>
      <c r="N17" s="145"/>
    </row>
    <row r="18" spans="1:14" ht="15.5" x14ac:dyDescent="0.35">
      <c r="B18" s="151"/>
      <c r="C18" s="135"/>
      <c r="D18" s="122"/>
      <c r="E18" s="129"/>
      <c r="F18" s="133"/>
      <c r="G18" s="136"/>
      <c r="H18" s="126"/>
      <c r="I18" s="128"/>
      <c r="J18" s="137"/>
      <c r="K18" s="147"/>
      <c r="L18" s="162"/>
      <c r="M18" s="145"/>
      <c r="N18" s="145"/>
    </row>
    <row r="19" spans="1:14" ht="15.5" x14ac:dyDescent="0.35">
      <c r="B19" s="152" t="s">
        <v>224</v>
      </c>
      <c r="C19" s="153">
        <f>AVERAGE(C5:C16)</f>
        <v>68.833333333333329</v>
      </c>
      <c r="D19" s="154">
        <f>AVERAGE(D5:D16)</f>
        <v>588.97854283333334</v>
      </c>
      <c r="E19" s="161">
        <f>AVERAGE(E5:E9)</f>
        <v>0.21600000000000003</v>
      </c>
      <c r="F19" s="155"/>
      <c r="G19" s="156">
        <f>AVERAGE(G5:G14)</f>
        <v>106</v>
      </c>
      <c r="H19" s="157">
        <f>AVERAGE(H5:H14)</f>
        <v>906.99843400000032</v>
      </c>
      <c r="I19" s="160">
        <f>AVERAGE(I5:I10)</f>
        <v>0.22493333333333332</v>
      </c>
      <c r="J19" s="156"/>
      <c r="K19" s="158">
        <f>AVERAGE(K5:K12)</f>
        <v>29.125</v>
      </c>
      <c r="L19" s="163">
        <f>AVERAGE(L5:L12)</f>
        <v>249.21065462500002</v>
      </c>
      <c r="M19" s="159">
        <f>AVERAGE(M5:M9)</f>
        <v>0.98840000000000006</v>
      </c>
      <c r="N19" s="148"/>
    </row>
    <row r="20" spans="1:14" x14ac:dyDescent="0.35">
      <c r="C20" s="10"/>
    </row>
    <row r="22" spans="1:14" ht="21" x14ac:dyDescent="0.5">
      <c r="A22" s="112"/>
      <c r="B22" s="175">
        <v>265</v>
      </c>
      <c r="C22" s="175"/>
      <c r="D22" s="175">
        <v>265</v>
      </c>
      <c r="E22" s="120"/>
      <c r="F22" s="176">
        <v>128</v>
      </c>
      <c r="J22" s="169" t="s">
        <v>200</v>
      </c>
      <c r="K22" s="170"/>
      <c r="L22" s="167"/>
      <c r="M22" s="168"/>
    </row>
    <row r="23" spans="1:14" x14ac:dyDescent="0.35">
      <c r="A23" s="112"/>
      <c r="B23" s="175">
        <v>317</v>
      </c>
      <c r="C23" s="175"/>
      <c r="D23" s="175">
        <v>368</v>
      </c>
      <c r="E23" s="120"/>
      <c r="F23" s="176">
        <v>197</v>
      </c>
      <c r="J23" s="171"/>
      <c r="K23" s="172"/>
      <c r="L23" s="172"/>
      <c r="M23" s="173"/>
    </row>
    <row r="24" spans="1:14" ht="16" customHeight="1" x14ac:dyDescent="0.35">
      <c r="A24" s="112"/>
      <c r="B24" s="175">
        <v>317</v>
      </c>
      <c r="C24" s="175"/>
      <c r="D24" s="175">
        <v>685</v>
      </c>
      <c r="E24" s="120"/>
      <c r="F24" s="176">
        <v>248</v>
      </c>
      <c r="G24" s="9"/>
      <c r="H24" s="9"/>
      <c r="I24" s="9"/>
      <c r="J24" s="166" t="s">
        <v>203</v>
      </c>
      <c r="K24" s="201">
        <v>1.1319999999999999</v>
      </c>
      <c r="L24" s="202"/>
      <c r="M24" s="203"/>
    </row>
    <row r="25" spans="1:14" ht="16" customHeight="1" x14ac:dyDescent="0.35">
      <c r="A25" s="112"/>
      <c r="B25" s="175">
        <v>453</v>
      </c>
      <c r="C25" s="175"/>
      <c r="D25" s="175">
        <v>744</v>
      </c>
      <c r="E25" s="120"/>
      <c r="F25" s="176">
        <v>248</v>
      </c>
      <c r="G25" s="9"/>
      <c r="H25" s="9"/>
      <c r="I25" s="9"/>
      <c r="J25" s="165" t="s">
        <v>248</v>
      </c>
      <c r="K25" s="198">
        <v>1.0900000000000001</v>
      </c>
      <c r="L25" s="199"/>
      <c r="M25" s="200"/>
    </row>
    <row r="26" spans="1:14" ht="16" customHeight="1" x14ac:dyDescent="0.35">
      <c r="A26" s="112"/>
      <c r="B26" s="175">
        <v>505</v>
      </c>
      <c r="C26" s="175"/>
      <c r="D26" s="175">
        <v>890</v>
      </c>
      <c r="E26" s="120"/>
      <c r="F26" s="176">
        <v>257</v>
      </c>
      <c r="G26" s="9"/>
      <c r="H26" s="9"/>
      <c r="I26" s="9"/>
      <c r="J26" s="165" t="s">
        <v>204</v>
      </c>
      <c r="K26" s="198">
        <v>1.24</v>
      </c>
      <c r="L26" s="199"/>
      <c r="M26" s="200"/>
    </row>
    <row r="27" spans="1:14" ht="16" customHeight="1" x14ac:dyDescent="0.35">
      <c r="A27" s="112"/>
      <c r="B27" s="175">
        <v>522</v>
      </c>
      <c r="C27" s="175"/>
      <c r="D27" s="175">
        <v>933</v>
      </c>
      <c r="E27" s="120"/>
      <c r="F27" s="176">
        <v>265</v>
      </c>
      <c r="G27" s="9"/>
      <c r="H27" s="9"/>
      <c r="I27" s="9"/>
      <c r="J27" s="165" t="s">
        <v>249</v>
      </c>
      <c r="K27" s="198">
        <v>1.17</v>
      </c>
      <c r="L27" s="199"/>
      <c r="M27" s="200"/>
    </row>
    <row r="28" spans="1:14" ht="16" customHeight="1" x14ac:dyDescent="0.35">
      <c r="A28" s="112"/>
      <c r="B28" s="175">
        <v>573</v>
      </c>
      <c r="C28" s="175"/>
      <c r="D28" s="175">
        <v>1001</v>
      </c>
      <c r="E28" s="120"/>
      <c r="F28" s="176">
        <v>291</v>
      </c>
      <c r="G28" s="9"/>
      <c r="H28" s="9"/>
      <c r="I28" s="9"/>
      <c r="J28" s="165" t="s">
        <v>250</v>
      </c>
      <c r="K28" s="198">
        <v>1.92</v>
      </c>
      <c r="L28" s="199"/>
      <c r="M28" s="200"/>
    </row>
    <row r="29" spans="1:14" ht="16" customHeight="1" x14ac:dyDescent="0.35">
      <c r="A29" s="112"/>
      <c r="B29" s="175">
        <v>625</v>
      </c>
      <c r="C29" s="175"/>
      <c r="D29" s="175">
        <v>1138</v>
      </c>
      <c r="E29" s="120"/>
      <c r="F29" s="176">
        <v>359</v>
      </c>
      <c r="G29" s="9"/>
      <c r="H29" s="9"/>
      <c r="I29" s="9"/>
      <c r="J29" s="165" t="s">
        <v>251</v>
      </c>
      <c r="K29" s="198">
        <v>1.02</v>
      </c>
      <c r="L29" s="199"/>
      <c r="M29" s="200"/>
    </row>
    <row r="30" spans="1:14" ht="16" customHeight="1" x14ac:dyDescent="0.35">
      <c r="A30" s="112"/>
      <c r="B30" s="175">
        <v>642</v>
      </c>
      <c r="C30" s="175"/>
      <c r="D30" s="120">
        <v>1403</v>
      </c>
      <c r="E30" s="120"/>
      <c r="F30" s="176"/>
      <c r="G30" s="9"/>
      <c r="H30" s="9"/>
      <c r="I30" s="9"/>
      <c r="J30" s="165" t="s">
        <v>207</v>
      </c>
      <c r="K30" s="198">
        <v>1.33</v>
      </c>
      <c r="L30" s="199"/>
      <c r="M30" s="200"/>
    </row>
    <row r="31" spans="1:14" ht="16" customHeight="1" x14ac:dyDescent="0.35">
      <c r="A31" s="112"/>
      <c r="B31" s="175">
        <v>924</v>
      </c>
      <c r="C31" s="175"/>
      <c r="D31" s="120">
        <v>1643</v>
      </c>
      <c r="E31" s="120"/>
      <c r="F31" s="176"/>
      <c r="G31" s="9"/>
      <c r="H31" s="9"/>
      <c r="I31" s="9"/>
      <c r="J31" s="165" t="s">
        <v>252</v>
      </c>
      <c r="K31" s="198">
        <v>1.06</v>
      </c>
      <c r="L31" s="199"/>
      <c r="M31" s="200"/>
    </row>
    <row r="32" spans="1:14" ht="16" customHeight="1" x14ac:dyDescent="0.35">
      <c r="A32" s="112"/>
      <c r="B32" s="175">
        <v>941</v>
      </c>
      <c r="C32" s="175"/>
      <c r="D32" s="120"/>
      <c r="E32" s="120"/>
      <c r="F32" s="176"/>
      <c r="G32" s="9"/>
      <c r="H32" s="9"/>
      <c r="I32" s="9"/>
      <c r="J32" s="165" t="s">
        <v>211</v>
      </c>
      <c r="K32" s="201">
        <v>8.5565890000000007</v>
      </c>
      <c r="L32" s="202"/>
      <c r="M32" s="203"/>
    </row>
    <row r="33" spans="1:9" x14ac:dyDescent="0.35">
      <c r="A33" s="112"/>
      <c r="B33" s="175">
        <v>984</v>
      </c>
      <c r="C33" s="175"/>
      <c r="D33" s="120"/>
      <c r="E33" s="120"/>
      <c r="F33" s="177"/>
      <c r="G33" s="9"/>
      <c r="H33" s="9"/>
      <c r="I33" s="9"/>
    </row>
    <row r="34" spans="1:9" x14ac:dyDescent="0.35">
      <c r="A34" s="112"/>
      <c r="B34" s="112"/>
      <c r="C34" s="174"/>
      <c r="D34" s="112"/>
      <c r="E34" s="112"/>
      <c r="G34" s="9"/>
      <c r="H34" s="9"/>
      <c r="I34" s="9"/>
    </row>
    <row r="35" spans="1:9" x14ac:dyDescent="0.35">
      <c r="A35" s="112"/>
      <c r="B35" s="112"/>
      <c r="C35" s="174"/>
      <c r="D35" s="112"/>
      <c r="E35" s="112"/>
      <c r="G35" s="9"/>
      <c r="H35" s="9"/>
      <c r="I35" s="9"/>
    </row>
    <row r="36" spans="1:9" x14ac:dyDescent="0.35">
      <c r="G36" s="9"/>
      <c r="H36" s="9"/>
    </row>
    <row r="37" spans="1:9" x14ac:dyDescent="0.35">
      <c r="F37" s="11"/>
      <c r="G37" s="13"/>
      <c r="H37" s="13"/>
      <c r="I37" s="13"/>
    </row>
    <row r="48" spans="1:9" ht="56" customHeight="1" x14ac:dyDescent="0.35"/>
    <row r="49" spans="3:13" ht="58" customHeight="1" x14ac:dyDescent="0.35"/>
    <row r="50" spans="3:13" ht="44" customHeight="1" x14ac:dyDescent="0.35"/>
    <row r="51" spans="3:13" ht="57" customHeight="1" x14ac:dyDescent="0.35"/>
    <row r="52" spans="3:13" ht="29" customHeight="1" x14ac:dyDescent="0.35"/>
    <row r="60" spans="3:13" ht="15.5" x14ac:dyDescent="0.35">
      <c r="C60" s="113"/>
      <c r="D60" s="114"/>
      <c r="E60" s="115"/>
      <c r="F60" s="113"/>
      <c r="G60" s="114"/>
      <c r="H60" s="115"/>
      <c r="I60" s="113"/>
      <c r="J60" s="114"/>
      <c r="K60" s="115"/>
      <c r="L60" s="116"/>
      <c r="M60" s="112"/>
    </row>
    <row r="61" spans="3:13" ht="15.5" x14ac:dyDescent="0.35">
      <c r="C61" s="113"/>
      <c r="D61" s="114"/>
      <c r="E61" s="114"/>
      <c r="F61" s="113"/>
      <c r="G61" s="114"/>
      <c r="H61" s="115"/>
      <c r="I61" s="116"/>
      <c r="J61" s="113"/>
      <c r="K61" s="113"/>
      <c r="L61" s="113"/>
      <c r="M61" s="112"/>
    </row>
    <row r="62" spans="3:13" x14ac:dyDescent="0.35">
      <c r="C62" s="113"/>
      <c r="D62" s="114"/>
      <c r="E62" s="114"/>
      <c r="F62" s="113"/>
      <c r="G62" s="114"/>
      <c r="H62" s="113"/>
      <c r="I62" s="113"/>
      <c r="J62" s="114"/>
      <c r="K62" s="113"/>
      <c r="L62" s="113"/>
      <c r="M62" s="112"/>
    </row>
    <row r="63" spans="3:13" x14ac:dyDescent="0.35">
      <c r="C63" s="113"/>
      <c r="D63" s="114"/>
      <c r="E63" s="114"/>
      <c r="F63" s="113"/>
      <c r="G63" s="114"/>
      <c r="H63" s="113"/>
      <c r="I63" s="113"/>
      <c r="J63" s="117"/>
      <c r="K63" s="113"/>
      <c r="L63" s="113"/>
      <c r="M63" s="112"/>
    </row>
    <row r="64" spans="3:13" x14ac:dyDescent="0.35">
      <c r="C64" s="113"/>
      <c r="D64" s="114"/>
      <c r="E64" s="114"/>
      <c r="F64" s="113"/>
      <c r="G64" s="114"/>
      <c r="H64" s="114"/>
      <c r="I64" s="114"/>
      <c r="J64" s="114"/>
      <c r="K64" s="113"/>
      <c r="L64" s="113"/>
      <c r="M64" s="112"/>
    </row>
    <row r="65" spans="3:13" x14ac:dyDescent="0.35">
      <c r="C65" s="113"/>
      <c r="D65" s="114"/>
      <c r="E65" s="114"/>
      <c r="F65" s="113"/>
      <c r="G65" s="114"/>
      <c r="H65" s="114"/>
      <c r="I65" s="114"/>
      <c r="J65" s="114"/>
      <c r="K65" s="113"/>
      <c r="L65" s="113"/>
      <c r="M65" s="112"/>
    </row>
    <row r="66" spans="3:13" x14ac:dyDescent="0.35">
      <c r="C66" s="113"/>
      <c r="D66" s="114"/>
      <c r="E66" s="114"/>
      <c r="F66" s="113"/>
      <c r="G66" s="114"/>
      <c r="H66" s="114"/>
      <c r="I66" s="114"/>
      <c r="J66" s="117"/>
      <c r="K66" s="113"/>
      <c r="L66" s="113"/>
      <c r="M66" s="112"/>
    </row>
    <row r="67" spans="3:13" x14ac:dyDescent="0.35">
      <c r="C67" s="113"/>
      <c r="D67" s="114"/>
      <c r="E67" s="118"/>
      <c r="F67" s="113"/>
      <c r="G67" s="114"/>
      <c r="H67" s="114"/>
      <c r="I67" s="114"/>
      <c r="J67" s="117"/>
      <c r="K67" s="113"/>
      <c r="L67" s="113"/>
      <c r="M67" s="112"/>
    </row>
    <row r="68" spans="3:13" x14ac:dyDescent="0.35">
      <c r="C68" s="113"/>
      <c r="D68" s="114"/>
      <c r="E68" s="113"/>
      <c r="F68" s="113"/>
      <c r="G68" s="114"/>
      <c r="H68" s="114"/>
      <c r="I68" s="114"/>
      <c r="J68" s="117"/>
      <c r="K68" s="113"/>
      <c r="L68" s="113"/>
      <c r="M68" s="112"/>
    </row>
    <row r="69" spans="3:13" x14ac:dyDescent="0.35"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</row>
    <row r="70" spans="3:13" x14ac:dyDescent="0.35"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</row>
    <row r="71" spans="3:13" x14ac:dyDescent="0.35"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</row>
  </sheetData>
  <mergeCells count="13">
    <mergeCell ref="K30:M30"/>
    <mergeCell ref="K31:M31"/>
    <mergeCell ref="K32:M32"/>
    <mergeCell ref="B2:G3"/>
    <mergeCell ref="K24:M24"/>
    <mergeCell ref="K25:M25"/>
    <mergeCell ref="K26:M26"/>
    <mergeCell ref="K27:M27"/>
    <mergeCell ref="K28:M28"/>
    <mergeCell ref="K29:M29"/>
    <mergeCell ref="C4:D4"/>
    <mergeCell ref="G4:H4"/>
    <mergeCell ref="K4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6676-A140-4A91-824F-AA8D7B49C0A7}">
  <dimension ref="B4:P59"/>
  <sheetViews>
    <sheetView zoomScale="50" zoomScaleNormal="50" workbookViewId="0">
      <selection activeCell="H22" sqref="H22"/>
    </sheetView>
  </sheetViews>
  <sheetFormatPr baseColWidth="10" defaultColWidth="10.6640625" defaultRowHeight="14.5" x14ac:dyDescent="0.35"/>
  <cols>
    <col min="1" max="1" width="10.6640625" style="20"/>
    <col min="2" max="2" width="22.33203125" style="20" customWidth="1"/>
    <col min="3" max="3" width="18.83203125" style="20" customWidth="1"/>
    <col min="4" max="4" width="10.6640625" style="20"/>
    <col min="5" max="5" width="16.83203125" style="20" customWidth="1"/>
    <col min="6" max="11" width="10.6640625" style="20"/>
    <col min="12" max="12" width="14.5" style="20" customWidth="1"/>
    <col min="13" max="14" width="10.6640625" style="20"/>
    <col min="15" max="15" width="19.33203125" style="20" customWidth="1"/>
    <col min="16" max="16384" width="10.6640625" style="20"/>
  </cols>
  <sheetData>
    <row r="4" spans="2:9" ht="18.5" x14ac:dyDescent="0.45">
      <c r="B4" s="194" t="s">
        <v>254</v>
      </c>
      <c r="C4" s="195"/>
    </row>
    <row r="5" spans="2:9" x14ac:dyDescent="0.35">
      <c r="B5" s="179" t="s">
        <v>255</v>
      </c>
      <c r="C5" s="179" t="s">
        <v>258</v>
      </c>
      <c r="D5" s="179" t="s">
        <v>257</v>
      </c>
      <c r="E5" s="179" t="s">
        <v>197</v>
      </c>
      <c r="I5" s="22"/>
    </row>
    <row r="6" spans="2:9" ht="15" customHeight="1" x14ac:dyDescent="0.35">
      <c r="B6" s="180" t="s">
        <v>226</v>
      </c>
      <c r="C6" s="181">
        <f>D6*C11</f>
        <v>14480</v>
      </c>
      <c r="D6" s="182">
        <v>0.4</v>
      </c>
      <c r="E6" s="209" t="s">
        <v>259</v>
      </c>
    </row>
    <row r="7" spans="2:9" x14ac:dyDescent="0.35">
      <c r="B7" s="180" t="s">
        <v>227</v>
      </c>
      <c r="C7" s="181">
        <f>D7*C11</f>
        <v>12670</v>
      </c>
      <c r="D7" s="182">
        <v>0.35</v>
      </c>
      <c r="E7" s="210"/>
      <c r="F7" s="178"/>
    </row>
    <row r="8" spans="2:9" x14ac:dyDescent="0.35">
      <c r="B8" s="180" t="s">
        <v>228</v>
      </c>
      <c r="C8" s="181">
        <f>D8*C11</f>
        <v>7240</v>
      </c>
      <c r="D8" s="182">
        <v>0.2</v>
      </c>
      <c r="E8" s="210"/>
    </row>
    <row r="9" spans="2:9" x14ac:dyDescent="0.35">
      <c r="B9" s="180" t="s">
        <v>256</v>
      </c>
      <c r="C9" s="181">
        <f>D9*C11</f>
        <v>1448</v>
      </c>
      <c r="D9" s="182">
        <v>0.04</v>
      </c>
      <c r="E9" s="210"/>
      <c r="I9" s="21"/>
    </row>
    <row r="10" spans="2:9" x14ac:dyDescent="0.35">
      <c r="B10" s="180" t="s">
        <v>230</v>
      </c>
      <c r="C10" s="181">
        <f>D10*C11</f>
        <v>362</v>
      </c>
      <c r="D10" s="182">
        <v>0.01</v>
      </c>
      <c r="E10" s="210"/>
    </row>
    <row r="11" spans="2:9" x14ac:dyDescent="0.35">
      <c r="B11" s="179" t="s">
        <v>275</v>
      </c>
      <c r="C11" s="183">
        <f>36.2*1000</f>
        <v>36200</v>
      </c>
      <c r="D11" s="184">
        <f>SUM(D6:D10)</f>
        <v>1</v>
      </c>
      <c r="E11" s="185"/>
    </row>
    <row r="12" spans="2:9" x14ac:dyDescent="0.35">
      <c r="B12" s="179" t="s">
        <v>260</v>
      </c>
      <c r="C12" s="180"/>
      <c r="D12" s="180"/>
      <c r="E12" s="180"/>
    </row>
    <row r="13" spans="2:9" x14ac:dyDescent="0.35">
      <c r="B13" s="180" t="s">
        <v>231</v>
      </c>
      <c r="C13" s="186">
        <f>0.55*C11</f>
        <v>19910</v>
      </c>
      <c r="D13" s="187">
        <f>C13/$C$11</f>
        <v>0.55000000000000004</v>
      </c>
      <c r="E13" s="181"/>
      <c r="G13" s="211">
        <v>43.95</v>
      </c>
      <c r="H13" s="212">
        <v>2005</v>
      </c>
    </row>
    <row r="14" spans="2:9" x14ac:dyDescent="0.35">
      <c r="B14" s="180" t="s">
        <v>232</v>
      </c>
      <c r="C14" s="186">
        <f>0.38*C11</f>
        <v>13756</v>
      </c>
      <c r="D14" s="187">
        <f t="shared" ref="D14:D15" si="0">C14/$C$11</f>
        <v>0.38</v>
      </c>
      <c r="E14" s="181"/>
      <c r="G14" s="213">
        <f>0.4*G13</f>
        <v>17.580000000000002</v>
      </c>
      <c r="H14" s="212" t="s">
        <v>273</v>
      </c>
    </row>
    <row r="15" spans="2:9" x14ac:dyDescent="0.35">
      <c r="B15" s="180" t="s">
        <v>233</v>
      </c>
      <c r="C15" s="186">
        <f>0.07*C11</f>
        <v>2534.0000000000005</v>
      </c>
      <c r="D15" s="187">
        <f t="shared" si="0"/>
        <v>7.0000000000000007E-2</v>
      </c>
      <c r="E15" s="181"/>
      <c r="G15" s="212">
        <f>0.16*G14</f>
        <v>2.8128000000000002</v>
      </c>
      <c r="H15" s="212" t="s">
        <v>274</v>
      </c>
    </row>
    <row r="16" spans="2:9" x14ac:dyDescent="0.35">
      <c r="B16" s="179" t="s">
        <v>261</v>
      </c>
      <c r="C16" s="188" t="s">
        <v>225</v>
      </c>
      <c r="D16" s="179"/>
      <c r="E16" s="179"/>
    </row>
    <row r="17" spans="2:16" x14ac:dyDescent="0.35">
      <c r="B17" s="180" t="s">
        <v>191</v>
      </c>
      <c r="C17" s="189">
        <f>0.7*'Emission sources and quantities'!Q24</f>
        <v>3747626812.8067989</v>
      </c>
      <c r="D17" s="181"/>
      <c r="E17" s="181"/>
    </row>
    <row r="18" spans="2:16" x14ac:dyDescent="0.35">
      <c r="B18" s="180" t="s">
        <v>262</v>
      </c>
      <c r="C18" s="189">
        <f>0.2*'Emission sources and quantities'!Q24</f>
        <v>1070750517.9447999</v>
      </c>
      <c r="D18" s="181"/>
      <c r="E18" s="181"/>
    </row>
    <row r="19" spans="2:16" x14ac:dyDescent="0.35">
      <c r="B19" s="180" t="s">
        <v>234</v>
      </c>
      <c r="C19" s="189">
        <f>0.1*'Emission sources and quantities'!Q24</f>
        <v>535375258.97239995</v>
      </c>
      <c r="D19" s="181"/>
      <c r="E19" s="181"/>
    </row>
    <row r="20" spans="2:16" x14ac:dyDescent="0.35">
      <c r="B20" s="180" t="s">
        <v>263</v>
      </c>
      <c r="C20" s="190">
        <f>SUM(C17:C19)</f>
        <v>5353752589.7239981</v>
      </c>
      <c r="D20" s="181"/>
      <c r="E20" s="181"/>
    </row>
    <row r="21" spans="2:16" x14ac:dyDescent="0.35">
      <c r="B21" s="191" t="s">
        <v>264</v>
      </c>
      <c r="C21" s="179" t="s">
        <v>258</v>
      </c>
      <c r="D21" s="179" t="s">
        <v>257</v>
      </c>
      <c r="E21" s="192"/>
    </row>
    <row r="22" spans="2:16" x14ac:dyDescent="0.35">
      <c r="B22" s="180" t="s">
        <v>265</v>
      </c>
      <c r="C22" s="181">
        <v>40</v>
      </c>
      <c r="D22" s="181"/>
      <c r="E22" s="181"/>
    </row>
    <row r="23" spans="2:16" x14ac:dyDescent="0.35">
      <c r="B23" s="180" t="s">
        <v>266</v>
      </c>
      <c r="C23" s="186">
        <f>D23*C24</f>
        <v>2316.8000000000002</v>
      </c>
      <c r="D23" s="187">
        <v>0.16</v>
      </c>
      <c r="E23" s="181"/>
    </row>
    <row r="24" spans="2:16" x14ac:dyDescent="0.35">
      <c r="B24" s="180" t="s">
        <v>229</v>
      </c>
      <c r="C24" s="181">
        <f>D24*C11</f>
        <v>14480</v>
      </c>
      <c r="D24" s="187">
        <v>0.4</v>
      </c>
      <c r="E24" s="181"/>
    </row>
    <row r="25" spans="2:16" x14ac:dyDescent="0.35">
      <c r="B25" s="179" t="s">
        <v>267</v>
      </c>
      <c r="C25" s="188" t="s">
        <v>268</v>
      </c>
      <c r="D25" s="179"/>
      <c r="E25" s="179"/>
    </row>
    <row r="26" spans="2:16" x14ac:dyDescent="0.35">
      <c r="B26" s="180" t="s">
        <v>235</v>
      </c>
      <c r="C26" s="193">
        <f>'Emission sources and quantities'!N14</f>
        <v>23121029</v>
      </c>
      <c r="D26" s="181"/>
      <c r="E26" s="181"/>
      <c r="P26" s="29"/>
    </row>
    <row r="27" spans="2:16" x14ac:dyDescent="0.35">
      <c r="B27" s="180" t="s">
        <v>256</v>
      </c>
      <c r="C27" s="193">
        <f>'Emission sources and quantities'!N7</f>
        <v>6059782</v>
      </c>
      <c r="D27" s="181"/>
      <c r="E27" s="181"/>
    </row>
    <row r="28" spans="2:16" x14ac:dyDescent="0.35">
      <c r="B28" s="180" t="s">
        <v>237</v>
      </c>
      <c r="C28" s="193">
        <f>'Emission sources and quantities'!N6</f>
        <v>5148554</v>
      </c>
      <c r="D28" s="181"/>
      <c r="E28" s="181"/>
    </row>
    <row r="29" spans="2:16" x14ac:dyDescent="0.35">
      <c r="B29" s="180" t="s">
        <v>199</v>
      </c>
      <c r="C29" s="193">
        <f>'Emission sources and quantities'!N10</f>
        <v>827000</v>
      </c>
      <c r="D29" s="181"/>
      <c r="E29" s="181"/>
    </row>
    <row r="52" spans="5:5" x14ac:dyDescent="0.35">
      <c r="E52" s="24"/>
    </row>
    <row r="59" spans="5:5" x14ac:dyDescent="0.35">
      <c r="E59" s="23"/>
    </row>
  </sheetData>
  <mergeCells count="1">
    <mergeCell ref="E6:E10"/>
  </mergeCells>
  <hyperlinks>
    <hyperlink ref="E6" r:id="rId1" xr:uid="{98C2E9DF-4716-EF41-A9DD-8D7A275DDA3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Emission sources and quantities</vt:lpstr>
      <vt:lpstr>Average Costs and %</vt:lpstr>
      <vt:lpstr>Global CO2 emissions by sec </vt:lpstr>
      <vt:lpstr>Price_capturable_CO2</vt:lpstr>
      <vt:lpstr>Price_in_total</vt:lpstr>
      <vt:lpstr>Total_emission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Brun</dc:creator>
  <cp:keywords/>
  <dc:description/>
  <cp:lastModifiedBy>Svein</cp:lastModifiedBy>
  <cp:revision/>
  <dcterms:created xsi:type="dcterms:W3CDTF">2019-02-19T12:30:17Z</dcterms:created>
  <dcterms:modified xsi:type="dcterms:W3CDTF">2019-06-05T19:38:33Z</dcterms:modified>
  <cp:category/>
  <cp:contentStatus/>
</cp:coreProperties>
</file>