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n\Desktop\Alt beregning\Excel sheets\"/>
    </mc:Choice>
  </mc:AlternateContent>
  <workbookProtection workbookAlgorithmName="SHA-512" workbookHashValue="pR8kMYgh6J3FBgGxNhn+u78BOuvEdIydPKFKgjnherhX2NrPd6pLOPNe2AdxAGPQlAnFXnoOZISipS3v05++Bw==" workbookSaltValue="pJxlE19csWmQ9s5DMj3NTQ==" workbookSpinCount="100000" lockStructure="1"/>
  <bookViews>
    <workbookView xWindow="0" yWindow="0" windowWidth="20490" windowHeight="7755" tabRatio="693"/>
  </bookViews>
  <sheets>
    <sheet name="Hull dimensions" sheetId="1" r:id="rId1"/>
    <sheet name="Functions" sheetId="7" state="hidden" r:id="rId2"/>
    <sheet name="Air gap data" sheetId="6" state="hidden" r:id="rId3"/>
    <sheet name="Stability" sheetId="2" state="hidden" r:id="rId4"/>
    <sheet name="Charts" sheetId="3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E9" i="7" l="1"/>
  <c r="D9" i="7"/>
  <c r="C9" i="7"/>
  <c r="B9" i="7"/>
  <c r="C5" i="7"/>
  <c r="B5" i="7"/>
  <c r="C4" i="7"/>
  <c r="B4" i="7"/>
  <c r="C3" i="7"/>
  <c r="B3" i="7"/>
  <c r="F4" i="1"/>
  <c r="F3" i="1" l="1"/>
  <c r="N3" i="1" l="1"/>
  <c r="O3" i="1"/>
  <c r="O9" i="1"/>
  <c r="O7" i="1" l="1"/>
  <c r="F5" i="1" l="1"/>
  <c r="K3" i="3" l="1"/>
  <c r="K4" i="3"/>
  <c r="K5" i="3"/>
  <c r="K6" i="3"/>
  <c r="K7" i="3"/>
  <c r="K8" i="3"/>
  <c r="K9" i="3"/>
  <c r="K10" i="3"/>
  <c r="K2" i="3"/>
  <c r="N4" i="1" l="1"/>
  <c r="N9" i="1" l="1"/>
  <c r="N5" i="1"/>
  <c r="J13" i="3" s="1"/>
  <c r="N13" i="1"/>
  <c r="N11" i="1" s="1"/>
  <c r="B12" i="7" l="1"/>
  <c r="O5" i="1"/>
  <c r="N10" i="1"/>
  <c r="I13" i="3" s="1"/>
  <c r="C9" i="2" l="1"/>
  <c r="O6" i="1"/>
  <c r="O8" i="1" l="1"/>
  <c r="O10" i="1" l="1"/>
  <c r="O11" i="1" s="1"/>
  <c r="C4" i="2"/>
  <c r="C13" i="2" s="1"/>
  <c r="N6" i="1"/>
  <c r="N12" i="1" l="1"/>
  <c r="C10" i="2" l="1"/>
  <c r="C12" i="2" s="1"/>
  <c r="C5" i="2"/>
  <c r="H4" i="2" s="1"/>
  <c r="B5" i="2"/>
  <c r="B10" i="2"/>
  <c r="H5" i="2" l="1"/>
  <c r="G5" i="2"/>
  <c r="G4" i="2"/>
  <c r="B9" i="2" l="1"/>
  <c r="B12" i="2" s="1"/>
  <c r="N8" i="1"/>
  <c r="B15" i="7" l="1"/>
  <c r="N7" i="1"/>
  <c r="M13" i="3" s="1"/>
  <c r="B4" i="2"/>
  <c r="B13" i="2" s="1"/>
  <c r="B13" i="7" l="1"/>
  <c r="B14" i="7" s="1"/>
  <c r="B11" i="2"/>
  <c r="G9" i="2" s="1"/>
  <c r="B6" i="2"/>
  <c r="B7" i="2" s="1"/>
  <c r="G16" i="2" l="1"/>
  <c r="N15" i="1" s="1"/>
  <c r="C11" i="2"/>
  <c r="H9" i="2" s="1"/>
  <c r="C6" i="2"/>
  <c r="C7" i="2" s="1"/>
  <c r="O13" i="1"/>
  <c r="G6" i="2"/>
  <c r="B14" i="2"/>
  <c r="G10" i="2"/>
  <c r="N18" i="1" l="1"/>
  <c r="G13" i="2"/>
  <c r="H6" i="2"/>
  <c r="C14" i="2"/>
  <c r="O18" i="1" s="1"/>
  <c r="H16" i="2"/>
  <c r="O15" i="1" s="1"/>
  <c r="H10" i="2"/>
  <c r="O12" i="1"/>
  <c r="N14" i="1"/>
  <c r="H13" i="2" l="1"/>
  <c r="O14" i="1" s="1"/>
  <c r="G14" i="2"/>
  <c r="N16" i="1" s="1"/>
  <c r="H14" i="2" l="1"/>
  <c r="O16" i="1" s="1"/>
  <c r="G15" i="2"/>
  <c r="N17" i="1" s="1"/>
  <c r="H15" i="2" l="1"/>
  <c r="O17" i="1" s="1"/>
</calcChain>
</file>

<file path=xl/sharedStrings.xml><?xml version="1.0" encoding="utf-8"?>
<sst xmlns="http://schemas.openxmlformats.org/spreadsheetml/2006/main" count="185" uniqueCount="116">
  <si>
    <t>Topside weight</t>
  </si>
  <si>
    <t>kg</t>
  </si>
  <si>
    <t>Airgap</t>
  </si>
  <si>
    <t>m</t>
  </si>
  <si>
    <t>Total weight</t>
  </si>
  <si>
    <t>Hs</t>
  </si>
  <si>
    <t>Draft</t>
  </si>
  <si>
    <t>Tp</t>
  </si>
  <si>
    <t>s</t>
  </si>
  <si>
    <t>Column width</t>
  </si>
  <si>
    <t>Topside weight %</t>
  </si>
  <si>
    <t>Column height</t>
  </si>
  <si>
    <t>Column c-c</t>
  </si>
  <si>
    <t>Pontoon width</t>
  </si>
  <si>
    <t>Pontoon height</t>
  </si>
  <si>
    <t>Displacement</t>
  </si>
  <si>
    <t>m^3</t>
  </si>
  <si>
    <t>Density: Sea water</t>
  </si>
  <si>
    <t>Gravitational acceleration</t>
  </si>
  <si>
    <t>m/s^2</t>
  </si>
  <si>
    <t>Water plane area</t>
  </si>
  <si>
    <t>kg/m^3</t>
  </si>
  <si>
    <t>Pontoon:</t>
  </si>
  <si>
    <t>Keel - Centre of Buoyancy</t>
  </si>
  <si>
    <t>length</t>
  </si>
  <si>
    <t>KBp</t>
  </si>
  <si>
    <t>width</t>
  </si>
  <si>
    <t>KBc</t>
  </si>
  <si>
    <t>height</t>
  </si>
  <si>
    <t>KB</t>
  </si>
  <si>
    <t>displacement</t>
  </si>
  <si>
    <t>Column:</t>
  </si>
  <si>
    <t>Buoyancy - Metacentre</t>
  </si>
  <si>
    <t>Ix</t>
  </si>
  <si>
    <t>m^4</t>
  </si>
  <si>
    <t>BM</t>
  </si>
  <si>
    <t>height (submerged)</t>
  </si>
  <si>
    <t>displacement (subm.)</t>
  </si>
  <si>
    <t>Keel - Centre of Gravity</t>
  </si>
  <si>
    <t>c-c length</t>
  </si>
  <si>
    <t>KG</t>
  </si>
  <si>
    <t>CG (topside)</t>
  </si>
  <si>
    <t>GM</t>
  </si>
  <si>
    <t>CG (hull)</t>
  </si>
  <si>
    <t>m above hull</t>
  </si>
  <si>
    <t>CG - total</t>
  </si>
  <si>
    <t>CG  - topside</t>
  </si>
  <si>
    <t>CG - hull</t>
  </si>
  <si>
    <t>meters above hull structure</t>
  </si>
  <si>
    <t>Hull + loads weight</t>
  </si>
  <si>
    <t>column above surface</t>
  </si>
  <si>
    <t>Normal Draft</t>
  </si>
  <si>
    <t>Deep Draft</t>
  </si>
  <si>
    <t>m^2</t>
  </si>
  <si>
    <t>Estimated added mass</t>
  </si>
  <si>
    <t>Pontoon w/h ratio</t>
  </si>
  <si>
    <t>Estimated T(heave)</t>
  </si>
  <si>
    <t>20' - 50'</t>
  </si>
  <si>
    <t>50' - 80'</t>
  </si>
  <si>
    <t>Kristin</t>
  </si>
  <si>
    <t>Gjøa</t>
  </si>
  <si>
    <t>Visund</t>
  </si>
  <si>
    <t>Snorre B</t>
  </si>
  <si>
    <t>P-52</t>
  </si>
  <si>
    <t>Åsgard B</t>
  </si>
  <si>
    <t>Topside W</t>
  </si>
  <si>
    <t>Column w</t>
  </si>
  <si>
    <t>Thunder Horse</t>
  </si>
  <si>
    <t>Atlantis</t>
  </si>
  <si>
    <t>Displacement (m3)</t>
  </si>
  <si>
    <t>Default model</t>
  </si>
  <si>
    <t>Pontoon length</t>
  </si>
  <si>
    <t>Ichthys*</t>
  </si>
  <si>
    <t>Topside %</t>
  </si>
  <si>
    <t>Tz</t>
  </si>
  <si>
    <t>20' - 25'</t>
  </si>
  <si>
    <t>25' - 30'</t>
  </si>
  <si>
    <t>30' - 40'</t>
  </si>
  <si>
    <t>40' - 50'</t>
  </si>
  <si>
    <t>Gulf of Mexico</t>
  </si>
  <si>
    <t>Norwegian Sea</t>
  </si>
  <si>
    <t>20 - 35</t>
  </si>
  <si>
    <t>35 - 50</t>
  </si>
  <si>
    <t>50 - 80</t>
  </si>
  <si>
    <t>20 - 40</t>
  </si>
  <si>
    <t xml:space="preserve">40 - 60 </t>
  </si>
  <si>
    <t>60 - 80</t>
  </si>
  <si>
    <t>Air gap</t>
  </si>
  <si>
    <t>Mid-Atlantic</t>
  </si>
  <si>
    <t>20 - 50</t>
  </si>
  <si>
    <t>West Africa</t>
  </si>
  <si>
    <t>20 - 80</t>
  </si>
  <si>
    <t>Air gap margin</t>
  </si>
  <si>
    <t>Normal draft</t>
  </si>
  <si>
    <t>20 - 30</t>
  </si>
  <si>
    <t>30 - 50</t>
  </si>
  <si>
    <t>Deep draft</t>
  </si>
  <si>
    <t>Weather condition</t>
  </si>
  <si>
    <t>Variable parameters</t>
  </si>
  <si>
    <t>Output hull data</t>
  </si>
  <si>
    <t>Input data</t>
  </si>
  <si>
    <t>Normal draft estimations</t>
  </si>
  <si>
    <t>Deep draft column c-c</t>
  </si>
  <si>
    <t>Fixed parameters</t>
  </si>
  <si>
    <t>Hull cost</t>
  </si>
  <si>
    <t>Total volume</t>
  </si>
  <si>
    <t>NOK/kg</t>
  </si>
  <si>
    <t>Estimated hull cost</t>
  </si>
  <si>
    <t>NOK</t>
  </si>
  <si>
    <t>Density: Hull</t>
  </si>
  <si>
    <t>Info:</t>
  </si>
  <si>
    <t>The user can change data in the fields: Input data, Fixed parameters</t>
  </si>
  <si>
    <t>Additional parameters</t>
  </si>
  <si>
    <t>Estimated model</t>
  </si>
  <si>
    <t>n/a</t>
  </si>
  <si>
    <t>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</si>
</sst>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\ %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3" fontId="0" fillId="0" borderId="0" xfId="0" applyNumberFormat="1"/>
    <xf numFmtId="165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0" fillId="2" borderId="1" xfId="0" applyFill="1" applyBorder="1"/>
    <xf numFmtId="0" fontId="0" fillId="0" borderId="0" xfId="0"/>
    <xf numFmtId="3" fontId="0" fillId="4" borderId="4" xfId="0" applyNumberFormat="1" applyFill="1" applyBorder="1"/>
    <xf numFmtId="164" fontId="0" fillId="4" borderId="4" xfId="0" applyNumberFormat="1" applyFill="1" applyBorder="1"/>
    <xf numFmtId="0" fontId="0" fillId="0" borderId="0" xfId="0" applyFill="1" applyBorder="1"/>
    <xf numFmtId="3" fontId="0" fillId="2" borderId="7" xfId="0" applyNumberFormat="1" applyFill="1" applyBorder="1"/>
    <xf numFmtId="0" fontId="0" fillId="2" borderId="10" xfId="0" applyFill="1" applyBorder="1"/>
    <xf numFmtId="0" fontId="0" fillId="2" borderId="7" xfId="0" applyFill="1" applyBorder="1"/>
    <xf numFmtId="3" fontId="0" fillId="0" borderId="0" xfId="0" applyNumberFormat="1" applyFill="1" applyBorder="1"/>
    <xf numFmtId="164" fontId="0" fillId="0" borderId="0" xfId="0" applyNumberFormat="1"/>
    <xf numFmtId="0" fontId="1" fillId="0" borderId="0" xfId="0" applyFont="1"/>
    <xf numFmtId="0" fontId="0" fillId="0" borderId="0" xfId="0" applyNumberFormat="1" applyFill="1" applyBorder="1"/>
    <xf numFmtId="0" fontId="0" fillId="0" borderId="0" xfId="0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4" borderId="4" xfId="0" applyNumberFormat="1" applyFont="1" applyFill="1" applyBorder="1"/>
    <xf numFmtId="3" fontId="0" fillId="4" borderId="15" xfId="0" applyNumberFormat="1" applyFill="1" applyBorder="1"/>
    <xf numFmtId="3" fontId="0" fillId="4" borderId="12" xfId="0" applyNumberFormat="1" applyFill="1" applyBorder="1"/>
    <xf numFmtId="10" fontId="0" fillId="4" borderId="17" xfId="0" applyNumberFormat="1" applyFill="1" applyBorder="1"/>
    <xf numFmtId="164" fontId="0" fillId="4" borderId="12" xfId="0" applyNumberFormat="1" applyFill="1" applyBorder="1"/>
    <xf numFmtId="0" fontId="0" fillId="0" borderId="13" xfId="0" applyFill="1" applyBorder="1"/>
    <xf numFmtId="0" fontId="0" fillId="0" borderId="19" xfId="0" applyFill="1" applyBorder="1"/>
    <xf numFmtId="0" fontId="0" fillId="0" borderId="14" xfId="0" applyFill="1" applyBorder="1"/>
    <xf numFmtId="0" fontId="0" fillId="0" borderId="20" xfId="0" applyFill="1" applyBorder="1"/>
    <xf numFmtId="0" fontId="0" fillId="0" borderId="16" xfId="0" applyFill="1" applyBorder="1"/>
    <xf numFmtId="0" fontId="0" fillId="2" borderId="21" xfId="0" applyFill="1" applyBorder="1"/>
    <xf numFmtId="0" fontId="3" fillId="0" borderId="0" xfId="0" applyFont="1"/>
    <xf numFmtId="10" fontId="0" fillId="0" borderId="0" xfId="0" applyNumberFormat="1"/>
    <xf numFmtId="0" fontId="0" fillId="0" borderId="0" xfId="0" applyAlignment="1"/>
    <xf numFmtId="164" fontId="3" fillId="5" borderId="4" xfId="0" applyNumberFormat="1" applyFont="1" applyFill="1" applyBorder="1"/>
    <xf numFmtId="3" fontId="3" fillId="5" borderId="17" xfId="0" applyNumberFormat="1" applyFont="1" applyFill="1" applyBorder="1"/>
    <xf numFmtId="3" fontId="3" fillId="5" borderId="12" xfId="0" applyNumberFormat="1" applyFont="1" applyFill="1" applyBorder="1"/>
    <xf numFmtId="3" fontId="3" fillId="5" borderId="4" xfId="0" applyNumberFormat="1" applyFont="1" applyFill="1" applyBorder="1"/>
    <xf numFmtId="166" fontId="3" fillId="5" borderId="17" xfId="0" applyNumberFormat="1" applyFont="1" applyFill="1" applyBorder="1"/>
    <xf numFmtId="164" fontId="3" fillId="5" borderId="12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ill="1"/>
    <xf numFmtId="2" fontId="0" fillId="0" borderId="0" xfId="0" applyNumberFormat="1" applyFill="1" applyBorder="1"/>
    <xf numFmtId="2" fontId="0" fillId="0" borderId="0" xfId="0" applyNumberFormat="1"/>
    <xf numFmtId="164" fontId="3" fillId="4" borderId="12" xfId="0" applyNumberFormat="1" applyFont="1" applyFill="1" applyBorder="1"/>
    <xf numFmtId="0" fontId="0" fillId="0" borderId="23" xfId="0" applyBorder="1"/>
    <xf numFmtId="0" fontId="0" fillId="0" borderId="21" xfId="0" applyBorder="1"/>
    <xf numFmtId="164" fontId="0" fillId="0" borderId="4" xfId="0" applyNumberFormat="1" applyFill="1" applyBorder="1"/>
    <xf numFmtId="10" fontId="0" fillId="0" borderId="0" xfId="0" applyNumberFormat="1" applyFill="1" applyBorder="1"/>
    <xf numFmtId="3" fontId="0" fillId="0" borderId="4" xfId="0" applyNumberFormat="1" applyFill="1" applyBorder="1"/>
    <xf numFmtId="166" fontId="0" fillId="0" borderId="0" xfId="0" applyNumberFormat="1" applyFill="1" applyBorder="1"/>
    <xf numFmtId="164" fontId="3" fillId="6" borderId="4" xfId="0" applyNumberFormat="1" applyFont="1" applyFill="1" applyBorder="1"/>
    <xf numFmtId="164" fontId="3" fillId="6" borderId="12" xfId="0" applyNumberFormat="1" applyFont="1" applyFill="1" applyBorder="1"/>
    <xf numFmtId="164" fontId="0" fillId="6" borderId="17" xfId="0" applyNumberFormat="1" applyFill="1" applyBorder="1"/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0" xfId="0" applyBorder="1" applyAlignment="1"/>
    <xf numFmtId="3" fontId="0" fillId="0" borderId="4" xfId="0" applyNumberFormat="1" applyFill="1" applyBorder="1" applyAlignment="1">
      <alignment horizontal="right"/>
    </xf>
    <xf numFmtId="3" fontId="0" fillId="0" borderId="17" xfId="0" applyNumberFormat="1" applyFill="1" applyBorder="1"/>
    <xf numFmtId="0" fontId="0" fillId="0" borderId="7" xfId="0" applyFill="1" applyBorder="1"/>
    <xf numFmtId="164" fontId="0" fillId="0" borderId="25" xfId="0" applyNumberFormat="1" applyFill="1" applyBorder="1"/>
    <xf numFmtId="0" fontId="0" fillId="0" borderId="26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27" xfId="0" applyFill="1" applyBorder="1"/>
    <xf numFmtId="3" fontId="0" fillId="0" borderId="28" xfId="0" applyNumberFormat="1" applyFill="1" applyBorder="1"/>
    <xf numFmtId="3" fontId="0" fillId="0" borderId="28" xfId="0" applyNumberFormat="1" applyFill="1" applyBorder="1" applyAlignment="1">
      <alignment horizontal="right"/>
    </xf>
    <xf numFmtId="0" fontId="0" fillId="0" borderId="29" xfId="0" applyFill="1" applyBorder="1"/>
    <xf numFmtId="164" fontId="0" fillId="0" borderId="4" xfId="0" applyNumberFormat="1" applyFill="1" applyBorder="1" applyAlignment="1">
      <alignment horizontal="right"/>
    </xf>
    <xf numFmtId="164" fontId="0" fillId="0" borderId="25" xfId="0" applyNumberForma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30" xfId="0" applyFill="1" applyBorder="1"/>
    <xf numFmtId="3" fontId="0" fillId="0" borderId="31" xfId="0" applyNumberFormat="1" applyFill="1" applyBorder="1"/>
    <xf numFmtId="3" fontId="0" fillId="0" borderId="31" xfId="0" applyNumberFormat="1" applyBorder="1"/>
    <xf numFmtId="0" fontId="0" fillId="0" borderId="32" xfId="0" applyFill="1" applyBorder="1"/>
    <xf numFmtId="3" fontId="0" fillId="0" borderId="17" xfId="0" applyNumberFormat="1" applyFill="1" applyBorder="1" applyAlignment="1"/>
    <xf numFmtId="164" fontId="0" fillId="4" borderId="28" xfId="0" applyNumberFormat="1" applyFill="1" applyBorder="1"/>
    <xf numFmtId="164" fontId="3" fillId="5" borderId="28" xfId="0" applyNumberFormat="1" applyFont="1" applyFill="1" applyBorder="1"/>
    <xf numFmtId="0" fontId="0" fillId="0" borderId="29" xfId="0" applyBorder="1"/>
    <xf numFmtId="165" fontId="0" fillId="0" borderId="30" xfId="0" applyNumberFormat="1" applyBorder="1"/>
    <xf numFmtId="3" fontId="0" fillId="5" borderId="31" xfId="0" applyNumberFormat="1" applyFill="1" applyBorder="1"/>
    <xf numFmtId="3" fontId="0" fillId="4" borderId="31" xfId="0" applyNumberFormat="1" applyFill="1" applyBorder="1"/>
    <xf numFmtId="1" fontId="0" fillId="0" borderId="0" xfId="0" applyNumberFormat="1" applyFill="1" applyBorder="1"/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164" fontId="0" fillId="0" borderId="2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18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3" xfId="0" applyFill="1" applyBorder="1"/>
    <xf numFmtId="0" fontId="2" fillId="0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21" xfId="0" applyFill="1" applyBorder="1"/>
    <xf numFmtId="0" fontId="0" fillId="0" borderId="1" xfId="0" applyFill="1" applyBorder="1"/>
    <xf numFmtId="10" fontId="0" fillId="0" borderId="2" xfId="0" applyNumberFormat="1" applyFill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0" xfId="0" applyNumberFormat="1" applyFill="1" applyBorder="1"/>
    <xf numFmtId="1" fontId="0" fillId="0" borderId="24" xfId="0" applyNumberFormat="1" applyFill="1" applyBorder="1"/>
    <xf numFmtId="0" fontId="0" fillId="0" borderId="33" xfId="0" applyFill="1" applyBorder="1"/>
    <xf numFmtId="0" fontId="0" fillId="0" borderId="22" xfId="0" applyFill="1" applyBorder="1"/>
    <xf numFmtId="2" fontId="0" fillId="0" borderId="2" xfId="0" applyNumberFormat="1" applyFill="1" applyBorder="1"/>
    <xf numFmtId="0" fontId="0" fillId="0" borderId="34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0" fontId="0" fillId="0" borderId="36" xfId="0" applyFill="1" applyBorder="1"/>
    <xf numFmtId="164" fontId="0" fillId="0" borderId="17" xfId="0" applyNumberFormat="1" applyFill="1" applyBorder="1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3" fontId="0" fillId="5" borderId="12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164" fontId="0" fillId="5" borderId="17" xfId="0" quotePrefix="1" applyNumberFormat="1" applyFill="1" applyBorder="1" applyAlignment="1" applyProtection="1">
      <alignment horizontal="right"/>
      <protection locked="0"/>
    </xf>
    <xf numFmtId="0" fontId="0" fillId="3" borderId="12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5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Est. range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Charts!$A$2:$A$8</c:f>
              <c:numCache>
                <c:formatCode>#,##0</c:formatCode>
                <c:ptCount val="7"/>
                <c:pt idx="0">
                  <c:v>20000</c:v>
                </c:pt>
                <c:pt idx="1">
                  <c:v>30000</c:v>
                </c:pt>
                <c:pt idx="2">
                  <c:v>40000</c:v>
                </c:pt>
                <c:pt idx="3">
                  <c:v>50000</c:v>
                </c:pt>
                <c:pt idx="4">
                  <c:v>60000</c:v>
                </c:pt>
                <c:pt idx="5">
                  <c:v>70000</c:v>
                </c:pt>
                <c:pt idx="6">
                  <c:v>80000</c:v>
                </c:pt>
              </c:numCache>
            </c:numRef>
          </c:xVal>
          <c:yVal>
            <c:numRef>
              <c:f>Charts!$B$2:$B$8</c:f>
              <c:numCache>
                <c:formatCode>#,##0</c:formatCode>
                <c:ptCount val="7"/>
                <c:pt idx="0">
                  <c:v>51348</c:v>
                </c:pt>
                <c:pt idx="1">
                  <c:v>72201</c:v>
                </c:pt>
                <c:pt idx="2">
                  <c:v>90597</c:v>
                </c:pt>
                <c:pt idx="3">
                  <c:v>106946</c:v>
                </c:pt>
                <c:pt idx="4">
                  <c:v>121572</c:v>
                </c:pt>
                <c:pt idx="5">
                  <c:v>134734</c:v>
                </c:pt>
                <c:pt idx="6">
                  <c:v>146641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459800"/>
        <c:axId val="551185176"/>
      </c:scatterChart>
      <c:scatterChart>
        <c:scatterStyle val="lineMarker"/>
        <c:varyColors val="0"/>
        <c:ser>
          <c:idx val="11"/>
          <c:order val="1"/>
          <c:tx>
            <c:v>Estimated model</c:v>
          </c:tx>
          <c:spPr>
            <a:ln w="25400" cap="rnd">
              <a:noFill/>
              <a:round/>
            </a:ln>
            <a:effectLst>
              <a:glow rad="101600">
                <a:srgbClr val="FF0000">
                  <a:alpha val="40000"/>
                </a:srgbClr>
              </a:glo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15875">
                <a:solidFill>
                  <a:srgbClr val="FF0000"/>
                </a:solidFill>
                <a:round/>
              </a:ln>
              <a:effectLst>
                <a:glow rad="101600">
                  <a:srgbClr val="FF0000">
                    <a:alpha val="40000"/>
                  </a:srgbClr>
                </a:glow>
              </a:effectLst>
            </c:spPr>
          </c:marker>
          <c:xVal>
            <c:numRef>
              <c:f>Charts!$H$13</c:f>
              <c:numCache>
                <c:formatCode>#,##0</c:formatCode>
                <c:ptCount val="1"/>
                <c:pt idx="0">
                  <c:v>25000</c:v>
                </c:pt>
              </c:numCache>
            </c:numRef>
          </c:xVal>
          <c:yVal>
            <c:numRef>
              <c:f>Charts!$I$13</c:f>
              <c:numCache>
                <c:formatCode>#,##0</c:formatCode>
                <c:ptCount val="1"/>
                <c:pt idx="0">
                  <c:v>62111.140173201959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Charts!$G$2</c:f>
              <c:strCache>
                <c:ptCount val="1"/>
                <c:pt idx="0">
                  <c:v>Kristin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Charts!$H$2</c:f>
              <c:numCache>
                <c:formatCode>#,##0</c:formatCode>
                <c:ptCount val="1"/>
                <c:pt idx="0">
                  <c:v>20000</c:v>
                </c:pt>
              </c:numCache>
            </c:numRef>
          </c:xVal>
          <c:yVal>
            <c:numRef>
              <c:f>Charts!$I$2</c:f>
              <c:numCache>
                <c:formatCode>#,##0</c:formatCode>
                <c:ptCount val="1"/>
                <c:pt idx="0">
                  <c:v>54600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Charts!$G$3</c:f>
              <c:strCache>
                <c:ptCount val="1"/>
                <c:pt idx="0">
                  <c:v>Gjøa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Charts!$H$3</c:f>
              <c:numCache>
                <c:formatCode>#,##0</c:formatCode>
                <c:ptCount val="1"/>
                <c:pt idx="0">
                  <c:v>22000</c:v>
                </c:pt>
              </c:numCache>
            </c:numRef>
          </c:xVal>
          <c:yVal>
            <c:numRef>
              <c:f>Charts!$I$3</c:f>
              <c:numCache>
                <c:formatCode>#,##0</c:formatCode>
                <c:ptCount val="1"/>
                <c:pt idx="0">
                  <c:v>57500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Charts!$G$4</c:f>
              <c:strCache>
                <c:ptCount val="1"/>
                <c:pt idx="0">
                  <c:v>Visund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Charts!$H$4</c:f>
              <c:numCache>
                <c:formatCode>#,##0</c:formatCode>
                <c:ptCount val="1"/>
                <c:pt idx="0">
                  <c:v>25000</c:v>
                </c:pt>
              </c:numCache>
            </c:numRef>
          </c:xVal>
          <c:yVal>
            <c:numRef>
              <c:f>Charts!$I$4</c:f>
              <c:numCache>
                <c:formatCode>#,##0</c:formatCode>
                <c:ptCount val="1"/>
                <c:pt idx="0">
                  <c:v>52600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Charts!$G$5</c:f>
              <c:strCache>
                <c:ptCount val="1"/>
                <c:pt idx="0">
                  <c:v>Snorre 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Charts!$H$5</c:f>
              <c:numCache>
                <c:formatCode>#,##0</c:formatCode>
                <c:ptCount val="1"/>
                <c:pt idx="0">
                  <c:v>28000</c:v>
                </c:pt>
              </c:numCache>
            </c:numRef>
          </c:xVal>
          <c:yVal>
            <c:numRef>
              <c:f>Charts!$I$5</c:f>
              <c:numCache>
                <c:formatCode>#,##0</c:formatCode>
                <c:ptCount val="1"/>
                <c:pt idx="0">
                  <c:v>54600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Charts!$G$6</c:f>
              <c:strCache>
                <c:ptCount val="1"/>
                <c:pt idx="0">
                  <c:v>P-52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Charts!$H$6</c:f>
              <c:numCache>
                <c:formatCode>#,##0</c:formatCode>
                <c:ptCount val="1"/>
                <c:pt idx="0">
                  <c:v>32000</c:v>
                </c:pt>
              </c:numCache>
            </c:numRef>
          </c:xVal>
          <c:yVal>
            <c:numRef>
              <c:f>Charts!$I$6</c:f>
              <c:numCache>
                <c:formatCode>#,##0</c:formatCode>
                <c:ptCount val="1"/>
                <c:pt idx="0">
                  <c:v>78000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Charts!$G$8</c:f>
              <c:strCache>
                <c:ptCount val="1"/>
                <c:pt idx="0">
                  <c:v>Atlantis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Charts!$H$8</c:f>
              <c:numCache>
                <c:formatCode>#,##0</c:formatCode>
                <c:ptCount val="1"/>
                <c:pt idx="0">
                  <c:v>35500</c:v>
                </c:pt>
              </c:numCache>
            </c:numRef>
          </c:xVal>
          <c:yVal>
            <c:numRef>
              <c:f>Charts!$I$8</c:f>
              <c:numCache>
                <c:formatCode>#,##0</c:formatCode>
                <c:ptCount val="1"/>
                <c:pt idx="0">
                  <c:v>86600</c:v>
                </c:pt>
              </c:numCache>
            </c:numRef>
          </c:yVal>
          <c:smooth val="0"/>
        </c:ser>
        <c:ser>
          <c:idx val="6"/>
          <c:order val="8"/>
          <c:tx>
            <c:strRef>
              <c:f>Charts!$G$7</c:f>
              <c:strCache>
                <c:ptCount val="1"/>
                <c:pt idx="0">
                  <c:v>Åsgard 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Charts!$H$7</c:f>
              <c:numCache>
                <c:formatCode>#,##0</c:formatCode>
                <c:ptCount val="1"/>
                <c:pt idx="0">
                  <c:v>42000</c:v>
                </c:pt>
              </c:numCache>
            </c:numRef>
          </c:xVal>
          <c:yVal>
            <c:numRef>
              <c:f>Charts!$I$7</c:f>
              <c:numCache>
                <c:formatCode>#,##0</c:formatCode>
                <c:ptCount val="1"/>
                <c:pt idx="0">
                  <c:v>82000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Charts!$G$9</c:f>
              <c:strCache>
                <c:ptCount val="1"/>
                <c:pt idx="0">
                  <c:v>Default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Charts!$H$9</c:f>
              <c:numCache>
                <c:formatCode>#,##0</c:formatCode>
                <c:ptCount val="1"/>
                <c:pt idx="0">
                  <c:v>50661</c:v>
                </c:pt>
              </c:numCache>
            </c:numRef>
          </c:xVal>
          <c:yVal>
            <c:numRef>
              <c:f>Charts!$I$9</c:f>
              <c:numCache>
                <c:formatCode>#,##0</c:formatCode>
                <c:ptCount val="1"/>
                <c:pt idx="0">
                  <c:v>107962</c:v>
                </c:pt>
              </c:numCache>
            </c:numRef>
          </c:yVal>
          <c:smooth val="0"/>
        </c:ser>
        <c:ser>
          <c:idx val="7"/>
          <c:order val="10"/>
          <c:tx>
            <c:strRef>
              <c:f>Charts!$G$10</c:f>
              <c:strCache>
                <c:ptCount val="1"/>
                <c:pt idx="0">
                  <c:v>Thunder Horse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Charts!$H$10</c:f>
              <c:numCache>
                <c:formatCode>#,##0</c:formatCode>
                <c:ptCount val="1"/>
                <c:pt idx="0">
                  <c:v>57100</c:v>
                </c:pt>
              </c:numCache>
            </c:numRef>
          </c:xVal>
          <c:yVal>
            <c:numRef>
              <c:f>Charts!$I$10</c:f>
              <c:numCache>
                <c:formatCode>#,##0</c:formatCode>
                <c:ptCount val="1"/>
                <c:pt idx="0">
                  <c:v>126800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Charts!$G$11</c:f>
              <c:strCache>
                <c:ptCount val="1"/>
                <c:pt idx="0">
                  <c:v>Ichthys*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Charts!$H$11</c:f>
              <c:numCache>
                <c:formatCode>#,##0</c:formatCode>
                <c:ptCount val="1"/>
                <c:pt idx="0">
                  <c:v>67800</c:v>
                </c:pt>
              </c:numCache>
            </c:numRef>
          </c:xVal>
          <c:yVal>
            <c:numRef>
              <c:f>Charts!$I$11</c:f>
              <c:numCache>
                <c:formatCode>#,##0</c:formatCode>
                <c:ptCount val="1"/>
                <c:pt idx="0">
                  <c:v>136600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6459800"/>
        <c:axId val="551185176"/>
      </c:scatterChart>
      <c:valAx>
        <c:axId val="426459800"/>
        <c:scaling>
          <c:orientation val="minMax"/>
          <c:max val="80000"/>
          <c:min val="20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Topside weight (tonnes)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185176"/>
        <c:crosses val="autoZero"/>
        <c:crossBetween val="midCat"/>
        <c:majorUnit val="10000"/>
      </c:valAx>
      <c:valAx>
        <c:axId val="551185176"/>
        <c:scaling>
          <c:orientation val="minMax"/>
          <c:max val="1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Displacement (m^3)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459800"/>
        <c:crosses val="autoZero"/>
        <c:crossBetween val="midCat"/>
        <c:majorUnit val="25000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Est. range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Charts!$A$2:$A$8</c:f>
              <c:numCache>
                <c:formatCode>#,##0</c:formatCode>
                <c:ptCount val="7"/>
                <c:pt idx="0">
                  <c:v>20000</c:v>
                </c:pt>
                <c:pt idx="1">
                  <c:v>30000</c:v>
                </c:pt>
                <c:pt idx="2">
                  <c:v>40000</c:v>
                </c:pt>
                <c:pt idx="3">
                  <c:v>50000</c:v>
                </c:pt>
                <c:pt idx="4">
                  <c:v>60000</c:v>
                </c:pt>
                <c:pt idx="5">
                  <c:v>70000</c:v>
                </c:pt>
                <c:pt idx="6">
                  <c:v>80000</c:v>
                </c:pt>
              </c:numCache>
            </c:numRef>
          </c:xVal>
          <c:yVal>
            <c:numRef>
              <c:f>Charts!$C$2:$C$8</c:f>
              <c:numCache>
                <c:formatCode>General</c:formatCode>
                <c:ptCount val="7"/>
                <c:pt idx="0">
                  <c:v>16</c:v>
                </c:pt>
                <c:pt idx="1">
                  <c:v>18.3</c:v>
                </c:pt>
                <c:pt idx="2">
                  <c:v>20.6</c:v>
                </c:pt>
                <c:pt idx="3">
                  <c:v>22.8</c:v>
                </c:pt>
                <c:pt idx="4">
                  <c:v>23.6</c:v>
                </c:pt>
                <c:pt idx="5">
                  <c:v>24.3</c:v>
                </c:pt>
                <c:pt idx="6">
                  <c:v>24.9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185960"/>
        <c:axId val="551186352"/>
      </c:scatterChart>
      <c:scatterChart>
        <c:scatterStyle val="lineMarker"/>
        <c:varyColors val="0"/>
        <c:ser>
          <c:idx val="9"/>
          <c:order val="1"/>
          <c:tx>
            <c:v>Estimated model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15875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marker>
          <c:dPt>
            <c:idx val="0"/>
            <c:marker>
              <c:symbol val="circle"/>
              <c:size val="6"/>
              <c:spPr>
                <a:solidFill>
                  <a:srgbClr val="FF0000"/>
                </a:solidFill>
                <a:ln w="15875">
                  <a:solidFill>
                    <a:srgbClr val="FF0000"/>
                  </a:solidFill>
                  <a:round/>
                </a:ln>
                <a:effectLst>
                  <a:glow rad="139700">
                    <a:srgbClr val="FF0000">
                      <a:alpha val="40000"/>
                    </a:srgbClr>
                  </a:glow>
                </a:effectLst>
              </c:spPr>
            </c:marker>
            <c:bubble3D val="0"/>
            <c:spPr>
              <a:ln w="25400" cap="rnd">
                <a:noFill/>
                <a:round/>
              </a:ln>
              <a:effectLst>
                <a:glow rad="139700">
                  <a:srgbClr val="FF0000">
                    <a:alpha val="40000"/>
                  </a:srgbClr>
                </a:glow>
              </a:effectLst>
            </c:spPr>
          </c:dPt>
          <c:xVal>
            <c:numRef>
              <c:f>Charts!$H$13</c:f>
              <c:numCache>
                <c:formatCode>#,##0</c:formatCode>
                <c:ptCount val="1"/>
                <c:pt idx="0">
                  <c:v>25000</c:v>
                </c:pt>
              </c:numCache>
            </c:numRef>
          </c:xVal>
          <c:yVal>
            <c:numRef>
              <c:f>Charts!$J$13</c:f>
              <c:numCache>
                <c:formatCode>0.0</c:formatCode>
                <c:ptCount val="1"/>
                <c:pt idx="0">
                  <c:v>17.141513418490234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Charts!$G$2</c:f>
              <c:strCache>
                <c:ptCount val="1"/>
                <c:pt idx="0">
                  <c:v>Kristin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Charts!$H$2</c:f>
              <c:numCache>
                <c:formatCode>#,##0</c:formatCode>
                <c:ptCount val="1"/>
                <c:pt idx="0">
                  <c:v>20000</c:v>
                </c:pt>
              </c:numCache>
            </c:numRef>
          </c:xVal>
          <c:yVal>
            <c:numRef>
              <c:f>Charts!$J$2</c:f>
              <c:numCache>
                <c:formatCode>General</c:formatCode>
                <c:ptCount val="1"/>
                <c:pt idx="0">
                  <c:v>17.8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Charts!$G$3</c:f>
              <c:strCache>
                <c:ptCount val="1"/>
                <c:pt idx="0">
                  <c:v>Gjøa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Charts!$H$3</c:f>
              <c:numCache>
                <c:formatCode>#,##0</c:formatCode>
                <c:ptCount val="1"/>
                <c:pt idx="0">
                  <c:v>22000</c:v>
                </c:pt>
              </c:numCache>
            </c:numRef>
          </c:xVal>
          <c:yVal>
            <c:numRef>
              <c:f>Charts!$J$3</c:f>
              <c:numCache>
                <c:formatCode>General</c:formatCode>
                <c:ptCount val="1"/>
                <c:pt idx="0">
                  <c:v>17.8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Charts!$G$4</c:f>
              <c:strCache>
                <c:ptCount val="1"/>
                <c:pt idx="0">
                  <c:v>Visund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Charts!$H$4</c:f>
              <c:numCache>
                <c:formatCode>#,##0</c:formatCode>
                <c:ptCount val="1"/>
                <c:pt idx="0">
                  <c:v>25000</c:v>
                </c:pt>
              </c:numCache>
            </c:numRef>
          </c:xVal>
          <c:yVal>
            <c:numRef>
              <c:f>Charts!$J$4</c:f>
              <c:numCache>
                <c:formatCode>General</c:formatCode>
                <c:ptCount val="1"/>
                <c:pt idx="0">
                  <c:v>16.8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Charts!$G$5</c:f>
              <c:strCache>
                <c:ptCount val="1"/>
                <c:pt idx="0">
                  <c:v>Snorre 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Charts!$H$5</c:f>
              <c:numCache>
                <c:formatCode>#,##0</c:formatCode>
                <c:ptCount val="1"/>
                <c:pt idx="0">
                  <c:v>28000</c:v>
                </c:pt>
              </c:numCache>
            </c:numRef>
          </c:xVal>
          <c:yVal>
            <c:numRef>
              <c:f>Charts!$J$5</c:f>
              <c:numCache>
                <c:formatCode>General</c:formatCode>
                <c:ptCount val="1"/>
                <c:pt idx="0">
                  <c:v>17.5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Charts!$G$6</c:f>
              <c:strCache>
                <c:ptCount val="1"/>
                <c:pt idx="0">
                  <c:v>P-52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Charts!$H$6</c:f>
              <c:numCache>
                <c:formatCode>#,##0</c:formatCode>
                <c:ptCount val="1"/>
                <c:pt idx="0">
                  <c:v>32000</c:v>
                </c:pt>
              </c:numCache>
            </c:numRef>
          </c:xVal>
          <c:yVal>
            <c:numRef>
              <c:f>Charts!$J$6</c:f>
              <c:numCache>
                <c:formatCode>General</c:formatCode>
                <c:ptCount val="1"/>
                <c:pt idx="0">
                  <c:v>17.8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Charts!$G$8</c:f>
              <c:strCache>
                <c:ptCount val="1"/>
                <c:pt idx="0">
                  <c:v>Atlantis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Charts!$H$8</c:f>
              <c:numCache>
                <c:formatCode>#,##0</c:formatCode>
                <c:ptCount val="1"/>
                <c:pt idx="0">
                  <c:v>35500</c:v>
                </c:pt>
              </c:numCache>
            </c:numRef>
          </c:xVal>
          <c:yVal>
            <c:numRef>
              <c:f>Charts!$J$8</c:f>
              <c:numCache>
                <c:formatCode>General</c:formatCode>
                <c:ptCount val="1"/>
                <c:pt idx="0">
                  <c:v>20.5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Charts!$G$9</c:f>
              <c:strCache>
                <c:ptCount val="1"/>
                <c:pt idx="0">
                  <c:v>Default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Charts!$H$9</c:f>
              <c:numCache>
                <c:formatCode>#,##0</c:formatCode>
                <c:ptCount val="1"/>
                <c:pt idx="0">
                  <c:v>50661</c:v>
                </c:pt>
              </c:numCache>
            </c:numRef>
          </c:xVal>
          <c:yVal>
            <c:numRef>
              <c:f>Charts!$J$9</c:f>
              <c:numCache>
                <c:formatCode>General</c:formatCode>
                <c:ptCount val="1"/>
                <c:pt idx="0">
                  <c:v>23</c:v>
                </c:pt>
              </c:numCache>
            </c:numRef>
          </c:yVal>
          <c:smooth val="0"/>
        </c:ser>
        <c:ser>
          <c:idx val="5"/>
          <c:order val="9"/>
          <c:tx>
            <c:strRef>
              <c:f>Charts!$G$10</c:f>
              <c:strCache>
                <c:ptCount val="1"/>
                <c:pt idx="0">
                  <c:v>Thunder Horse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Charts!$H$10</c:f>
              <c:numCache>
                <c:formatCode>#,##0</c:formatCode>
                <c:ptCount val="1"/>
                <c:pt idx="0">
                  <c:v>57100</c:v>
                </c:pt>
              </c:numCache>
            </c:numRef>
          </c:xVal>
          <c:yVal>
            <c:numRef>
              <c:f>Charts!$J$10</c:f>
              <c:numCache>
                <c:formatCode>General</c:formatCode>
                <c:ptCount val="1"/>
                <c:pt idx="0">
                  <c:v>23.2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185960"/>
        <c:axId val="551186352"/>
      </c:scatterChart>
      <c:valAx>
        <c:axId val="551185960"/>
        <c:scaling>
          <c:orientation val="minMax"/>
          <c:max val="80000"/>
          <c:min val="20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Topside weight (tonnes)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186352"/>
        <c:crosses val="autoZero"/>
        <c:crossBetween val="midCat"/>
      </c:valAx>
      <c:valAx>
        <c:axId val="551186352"/>
        <c:scaling>
          <c:orientation val="minMax"/>
          <c:max val="28"/>
          <c:min val="12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Column width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185960"/>
        <c:crosses val="autoZero"/>
        <c:crossBetween val="midCat"/>
        <c:majorUnit val="2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Est. range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Charts!$A$2:$A$8</c:f>
              <c:numCache>
                <c:formatCode>#,##0</c:formatCode>
                <c:ptCount val="7"/>
                <c:pt idx="0">
                  <c:v>20000</c:v>
                </c:pt>
                <c:pt idx="1">
                  <c:v>30000</c:v>
                </c:pt>
                <c:pt idx="2">
                  <c:v>40000</c:v>
                </c:pt>
                <c:pt idx="3">
                  <c:v>50000</c:v>
                </c:pt>
                <c:pt idx="4">
                  <c:v>60000</c:v>
                </c:pt>
                <c:pt idx="5">
                  <c:v>70000</c:v>
                </c:pt>
                <c:pt idx="6">
                  <c:v>80000</c:v>
                </c:pt>
              </c:numCache>
            </c:numRef>
          </c:xVal>
          <c:yVal>
            <c:numRef>
              <c:f>Charts!$D$2:$D$8</c:f>
              <c:numCache>
                <c:formatCode>General</c:formatCode>
                <c:ptCount val="7"/>
                <c:pt idx="0">
                  <c:v>85</c:v>
                </c:pt>
                <c:pt idx="1">
                  <c:v>91.4</c:v>
                </c:pt>
                <c:pt idx="2">
                  <c:v>97.7</c:v>
                </c:pt>
                <c:pt idx="3">
                  <c:v>102.3</c:v>
                </c:pt>
                <c:pt idx="4">
                  <c:v>109.7</c:v>
                </c:pt>
                <c:pt idx="5">
                  <c:v>115.2</c:v>
                </c:pt>
                <c:pt idx="6">
                  <c:v>118.9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188704"/>
        <c:axId val="551256592"/>
      </c:scatterChart>
      <c:scatterChart>
        <c:scatterStyle val="lineMarker"/>
        <c:varyColors val="0"/>
        <c:ser>
          <c:idx val="10"/>
          <c:order val="1"/>
          <c:tx>
            <c:v>Estimated model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15875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marker>
          <c:dPt>
            <c:idx val="0"/>
            <c:marker>
              <c:symbol val="circle"/>
              <c:size val="6"/>
              <c:spPr>
                <a:solidFill>
                  <a:srgbClr val="FF0000"/>
                </a:solidFill>
                <a:ln w="15875">
                  <a:solidFill>
                    <a:schemeClr val="accent5">
                      <a:lumMod val="60000"/>
                    </a:schemeClr>
                  </a:solidFill>
                  <a:round/>
                </a:ln>
                <a:effectLst>
                  <a:glow rad="139700">
                    <a:srgbClr val="FF0000">
                      <a:alpha val="40000"/>
                    </a:srgbClr>
                  </a:glow>
                </a:effectLst>
              </c:spPr>
            </c:marker>
            <c:bubble3D val="0"/>
            <c:spPr>
              <a:ln w="25400" cap="rnd">
                <a:noFill/>
                <a:round/>
              </a:ln>
              <a:effectLst>
                <a:glow rad="139700">
                  <a:srgbClr val="FF0000">
                    <a:alpha val="40000"/>
                  </a:srgbClr>
                </a:glow>
              </a:effectLst>
            </c:spPr>
          </c:dPt>
          <c:xVal>
            <c:numRef>
              <c:f>Charts!$H$13</c:f>
              <c:numCache>
                <c:formatCode>#,##0</c:formatCode>
                <c:ptCount val="1"/>
                <c:pt idx="0">
                  <c:v>25000</c:v>
                </c:pt>
              </c:numCache>
            </c:numRef>
          </c:xVal>
          <c:yVal>
            <c:numRef>
              <c:f>Charts!$M$13</c:f>
              <c:numCache>
                <c:formatCode>0.0</c:formatCode>
                <c:ptCount val="1"/>
                <c:pt idx="0">
                  <c:v>89.477185209280492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Charts!$G$2</c:f>
              <c:strCache>
                <c:ptCount val="1"/>
                <c:pt idx="0">
                  <c:v>Kristin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Charts!$H$2</c:f>
              <c:numCache>
                <c:formatCode>#,##0</c:formatCode>
                <c:ptCount val="1"/>
                <c:pt idx="0">
                  <c:v>20000</c:v>
                </c:pt>
              </c:numCache>
            </c:numRef>
          </c:xVal>
          <c:yVal>
            <c:numRef>
              <c:f>Charts!$M$2</c:f>
              <c:numCache>
                <c:formatCode>0.0</c:formatCode>
                <c:ptCount val="1"/>
                <c:pt idx="0">
                  <c:v>88.3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Charts!$G$3</c:f>
              <c:strCache>
                <c:ptCount val="1"/>
                <c:pt idx="0">
                  <c:v>Gjøa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Charts!$H$3</c:f>
              <c:numCache>
                <c:formatCode>#,##0</c:formatCode>
                <c:ptCount val="1"/>
                <c:pt idx="0">
                  <c:v>22000</c:v>
                </c:pt>
              </c:numCache>
            </c:numRef>
          </c:xVal>
          <c:yVal>
            <c:numRef>
              <c:f>Charts!$M$3</c:f>
              <c:numCache>
                <c:formatCode>0.0</c:formatCode>
                <c:ptCount val="1"/>
                <c:pt idx="0">
                  <c:v>85.3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Charts!$G$4</c:f>
              <c:strCache>
                <c:ptCount val="1"/>
                <c:pt idx="0">
                  <c:v>Visund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Charts!$H$4</c:f>
              <c:numCache>
                <c:formatCode>#,##0</c:formatCode>
                <c:ptCount val="1"/>
                <c:pt idx="0">
                  <c:v>25000</c:v>
                </c:pt>
              </c:numCache>
            </c:numRef>
          </c:xVal>
          <c:yVal>
            <c:numRef>
              <c:f>Charts!$M$4</c:f>
              <c:numCache>
                <c:formatCode>0.0</c:formatCode>
                <c:ptCount val="1"/>
                <c:pt idx="0">
                  <c:v>84.5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Charts!$G$5</c:f>
              <c:strCache>
                <c:ptCount val="1"/>
                <c:pt idx="0">
                  <c:v>Snorre 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Charts!$H$5</c:f>
              <c:numCache>
                <c:formatCode>#,##0</c:formatCode>
                <c:ptCount val="1"/>
                <c:pt idx="0">
                  <c:v>28000</c:v>
                </c:pt>
              </c:numCache>
            </c:numRef>
          </c:xVal>
          <c:yVal>
            <c:numRef>
              <c:f>Charts!$M$5</c:f>
              <c:numCache>
                <c:formatCode>0.0</c:formatCode>
                <c:ptCount val="1"/>
                <c:pt idx="0">
                  <c:v>85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Charts!$G$7</c:f>
              <c:strCache>
                <c:ptCount val="1"/>
                <c:pt idx="0">
                  <c:v>Åsgard 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Charts!$H$7</c:f>
              <c:numCache>
                <c:formatCode>#,##0</c:formatCode>
                <c:ptCount val="1"/>
                <c:pt idx="0">
                  <c:v>42000</c:v>
                </c:pt>
              </c:numCache>
            </c:numRef>
          </c:xVal>
          <c:yVal>
            <c:numRef>
              <c:f>Charts!$M$7</c:f>
              <c:numCache>
                <c:formatCode>0.0</c:formatCode>
                <c:ptCount val="1"/>
                <c:pt idx="0">
                  <c:v>102.4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Charts!$G$8</c:f>
              <c:strCache>
                <c:ptCount val="1"/>
                <c:pt idx="0">
                  <c:v>Atlantis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Charts!$H$8</c:f>
              <c:numCache>
                <c:formatCode>#,##0</c:formatCode>
                <c:ptCount val="1"/>
                <c:pt idx="0">
                  <c:v>35500</c:v>
                </c:pt>
              </c:numCache>
            </c:numRef>
          </c:xVal>
          <c:yVal>
            <c:numRef>
              <c:f>Charts!$M$8</c:f>
              <c:numCache>
                <c:formatCode>0.0</c:formatCode>
                <c:ptCount val="1"/>
                <c:pt idx="0">
                  <c:v>89.6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Charts!$G$9</c:f>
              <c:strCache>
                <c:ptCount val="1"/>
                <c:pt idx="0">
                  <c:v>Default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Charts!$H$9</c:f>
              <c:numCache>
                <c:formatCode>#,##0</c:formatCode>
                <c:ptCount val="1"/>
                <c:pt idx="0">
                  <c:v>50661</c:v>
                </c:pt>
              </c:numCache>
            </c:numRef>
          </c:xVal>
          <c:yVal>
            <c:numRef>
              <c:f>Charts!$M$9</c:f>
              <c:numCache>
                <c:formatCode>0.0</c:formatCode>
                <c:ptCount val="1"/>
                <c:pt idx="0">
                  <c:v>102.5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Charts!$G$10</c:f>
              <c:strCache>
                <c:ptCount val="1"/>
                <c:pt idx="0">
                  <c:v>Thunder Horse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Charts!$H$10</c:f>
              <c:numCache>
                <c:formatCode>#,##0</c:formatCode>
                <c:ptCount val="1"/>
                <c:pt idx="0">
                  <c:v>57100</c:v>
                </c:pt>
              </c:numCache>
            </c:numRef>
          </c:xVal>
          <c:yVal>
            <c:numRef>
              <c:f>Charts!$M$10</c:f>
              <c:numCache>
                <c:formatCode>0.0</c:formatCode>
                <c:ptCount val="1"/>
                <c:pt idx="0">
                  <c:v>110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Charts!$G$11</c:f>
              <c:strCache>
                <c:ptCount val="1"/>
                <c:pt idx="0">
                  <c:v>Ichthys*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Charts!$H$11</c:f>
              <c:numCache>
                <c:formatCode>#,##0</c:formatCode>
                <c:ptCount val="1"/>
                <c:pt idx="0">
                  <c:v>67800</c:v>
                </c:pt>
              </c:numCache>
            </c:numRef>
          </c:xVal>
          <c:yVal>
            <c:numRef>
              <c:f>Charts!$M$11</c:f>
              <c:numCache>
                <c:formatCode>0.0</c:formatCode>
                <c:ptCount val="1"/>
                <c:pt idx="0">
                  <c:v>110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188704"/>
        <c:axId val="551256592"/>
      </c:scatterChart>
      <c:valAx>
        <c:axId val="551188704"/>
        <c:scaling>
          <c:orientation val="minMax"/>
          <c:max val="80000"/>
          <c:min val="20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Topside weight (tonnes)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256592"/>
        <c:crosses val="autoZero"/>
        <c:crossBetween val="midCat"/>
      </c:valAx>
      <c:valAx>
        <c:axId val="551256592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Pontoon length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188704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Estimation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Charts!$A$2:$A$8</c:f>
              <c:numCache>
                <c:formatCode>#,##0</c:formatCode>
                <c:ptCount val="7"/>
                <c:pt idx="0">
                  <c:v>20000</c:v>
                </c:pt>
                <c:pt idx="1">
                  <c:v>30000</c:v>
                </c:pt>
                <c:pt idx="2">
                  <c:v>40000</c:v>
                </c:pt>
                <c:pt idx="3">
                  <c:v>50000</c:v>
                </c:pt>
                <c:pt idx="4">
                  <c:v>60000</c:v>
                </c:pt>
                <c:pt idx="5">
                  <c:v>70000</c:v>
                </c:pt>
                <c:pt idx="6">
                  <c:v>80000</c:v>
                </c:pt>
              </c:numCache>
            </c:numRef>
          </c:xVal>
          <c:yVal>
            <c:numRef>
              <c:f>Charts!$B$2:$B$8</c:f>
              <c:numCache>
                <c:formatCode>#,##0</c:formatCode>
                <c:ptCount val="7"/>
                <c:pt idx="0">
                  <c:v>51348</c:v>
                </c:pt>
                <c:pt idx="1">
                  <c:v>72201</c:v>
                </c:pt>
                <c:pt idx="2">
                  <c:v>90597</c:v>
                </c:pt>
                <c:pt idx="3">
                  <c:v>106946</c:v>
                </c:pt>
                <c:pt idx="4">
                  <c:v>121572</c:v>
                </c:pt>
                <c:pt idx="5">
                  <c:v>134734</c:v>
                </c:pt>
                <c:pt idx="6">
                  <c:v>146641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257376"/>
        <c:axId val="551257768"/>
      </c:scatterChart>
      <c:scatterChart>
        <c:scatterStyle val="lineMarker"/>
        <c:varyColors val="0"/>
        <c:ser>
          <c:idx val="1"/>
          <c:order val="1"/>
          <c:tx>
            <c:strRef>
              <c:f>Charts!$G$2</c:f>
              <c:strCache>
                <c:ptCount val="1"/>
                <c:pt idx="0">
                  <c:v>Kristin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Charts!$H$2</c:f>
              <c:numCache>
                <c:formatCode>#,##0</c:formatCode>
                <c:ptCount val="1"/>
                <c:pt idx="0">
                  <c:v>20000</c:v>
                </c:pt>
              </c:numCache>
            </c:numRef>
          </c:xVal>
          <c:yVal>
            <c:numRef>
              <c:f>Charts!$I$2</c:f>
              <c:numCache>
                <c:formatCode>#,##0</c:formatCode>
                <c:ptCount val="1"/>
                <c:pt idx="0">
                  <c:v>54600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Charts!$G$3</c:f>
              <c:strCache>
                <c:ptCount val="1"/>
                <c:pt idx="0">
                  <c:v>Gjøa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Charts!$H$3</c:f>
              <c:numCache>
                <c:formatCode>#,##0</c:formatCode>
                <c:ptCount val="1"/>
                <c:pt idx="0">
                  <c:v>22000</c:v>
                </c:pt>
              </c:numCache>
            </c:numRef>
          </c:xVal>
          <c:yVal>
            <c:numRef>
              <c:f>Charts!$I$3</c:f>
              <c:numCache>
                <c:formatCode>#,##0</c:formatCode>
                <c:ptCount val="1"/>
                <c:pt idx="0">
                  <c:v>57500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Charts!$G$4</c:f>
              <c:strCache>
                <c:ptCount val="1"/>
                <c:pt idx="0">
                  <c:v>Visund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Charts!$H$4</c:f>
              <c:numCache>
                <c:formatCode>#,##0</c:formatCode>
                <c:ptCount val="1"/>
                <c:pt idx="0">
                  <c:v>25000</c:v>
                </c:pt>
              </c:numCache>
            </c:numRef>
          </c:xVal>
          <c:yVal>
            <c:numRef>
              <c:f>Charts!$I$4</c:f>
              <c:numCache>
                <c:formatCode>#,##0</c:formatCode>
                <c:ptCount val="1"/>
                <c:pt idx="0">
                  <c:v>52600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Charts!$G$5</c:f>
              <c:strCache>
                <c:ptCount val="1"/>
                <c:pt idx="0">
                  <c:v>Snorre 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Charts!$H$5</c:f>
              <c:numCache>
                <c:formatCode>#,##0</c:formatCode>
                <c:ptCount val="1"/>
                <c:pt idx="0">
                  <c:v>28000</c:v>
                </c:pt>
              </c:numCache>
            </c:numRef>
          </c:xVal>
          <c:yVal>
            <c:numRef>
              <c:f>Charts!$I$5</c:f>
              <c:numCache>
                <c:formatCode>#,##0</c:formatCode>
                <c:ptCount val="1"/>
                <c:pt idx="0">
                  <c:v>54600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Charts!$G$6</c:f>
              <c:strCache>
                <c:ptCount val="1"/>
                <c:pt idx="0">
                  <c:v>P-52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Charts!$H$6</c:f>
              <c:numCache>
                <c:formatCode>#,##0</c:formatCode>
                <c:ptCount val="1"/>
                <c:pt idx="0">
                  <c:v>32000</c:v>
                </c:pt>
              </c:numCache>
            </c:numRef>
          </c:xVal>
          <c:yVal>
            <c:numRef>
              <c:f>Charts!$I$6</c:f>
              <c:numCache>
                <c:formatCode>#,##0</c:formatCode>
                <c:ptCount val="1"/>
                <c:pt idx="0">
                  <c:v>78000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Charts!$G$8</c:f>
              <c:strCache>
                <c:ptCount val="1"/>
                <c:pt idx="0">
                  <c:v>Atlantis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Charts!$H$8</c:f>
              <c:numCache>
                <c:formatCode>#,##0</c:formatCode>
                <c:ptCount val="1"/>
                <c:pt idx="0">
                  <c:v>35500</c:v>
                </c:pt>
              </c:numCache>
            </c:numRef>
          </c:xVal>
          <c:yVal>
            <c:numRef>
              <c:f>Charts!$I$8</c:f>
              <c:numCache>
                <c:formatCode>#,##0</c:formatCode>
                <c:ptCount val="1"/>
                <c:pt idx="0">
                  <c:v>86600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Charts!$G$7</c:f>
              <c:strCache>
                <c:ptCount val="1"/>
                <c:pt idx="0">
                  <c:v>Åsgard 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Charts!$H$7</c:f>
              <c:numCache>
                <c:formatCode>#,##0</c:formatCode>
                <c:ptCount val="1"/>
                <c:pt idx="0">
                  <c:v>42000</c:v>
                </c:pt>
              </c:numCache>
            </c:numRef>
          </c:xVal>
          <c:yVal>
            <c:numRef>
              <c:f>Charts!$I$7</c:f>
              <c:numCache>
                <c:formatCode>#,##0</c:formatCode>
                <c:ptCount val="1"/>
                <c:pt idx="0">
                  <c:v>82000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Charts!$G$9</c:f>
              <c:strCache>
                <c:ptCount val="1"/>
                <c:pt idx="0">
                  <c:v>Default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Charts!$H$9</c:f>
              <c:numCache>
                <c:formatCode>#,##0</c:formatCode>
                <c:ptCount val="1"/>
                <c:pt idx="0">
                  <c:v>50661</c:v>
                </c:pt>
              </c:numCache>
            </c:numRef>
          </c:xVal>
          <c:yVal>
            <c:numRef>
              <c:f>Charts!$I$9</c:f>
              <c:numCache>
                <c:formatCode>#,##0</c:formatCode>
                <c:ptCount val="1"/>
                <c:pt idx="0">
                  <c:v>107962</c:v>
                </c:pt>
              </c:numCache>
            </c:numRef>
          </c:yVal>
          <c:smooth val="0"/>
        </c:ser>
        <c:ser>
          <c:idx val="7"/>
          <c:order val="9"/>
          <c:tx>
            <c:strRef>
              <c:f>Charts!$G$10</c:f>
              <c:strCache>
                <c:ptCount val="1"/>
                <c:pt idx="0">
                  <c:v>Thunder Horse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Charts!$H$10</c:f>
              <c:numCache>
                <c:formatCode>#,##0</c:formatCode>
                <c:ptCount val="1"/>
                <c:pt idx="0">
                  <c:v>57100</c:v>
                </c:pt>
              </c:numCache>
            </c:numRef>
          </c:xVal>
          <c:yVal>
            <c:numRef>
              <c:f>Charts!$I$10</c:f>
              <c:numCache>
                <c:formatCode>#,##0</c:formatCode>
                <c:ptCount val="1"/>
                <c:pt idx="0">
                  <c:v>126800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Charts!$G$11</c:f>
              <c:strCache>
                <c:ptCount val="1"/>
                <c:pt idx="0">
                  <c:v>Ichthys*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Charts!$H$11</c:f>
              <c:numCache>
                <c:formatCode>#,##0</c:formatCode>
                <c:ptCount val="1"/>
                <c:pt idx="0">
                  <c:v>67800</c:v>
                </c:pt>
              </c:numCache>
            </c:numRef>
          </c:xVal>
          <c:yVal>
            <c:numRef>
              <c:f>Charts!$I$11</c:f>
              <c:numCache>
                <c:formatCode>#,##0</c:formatCode>
                <c:ptCount val="1"/>
                <c:pt idx="0">
                  <c:v>136600</c:v>
                </c:pt>
              </c:numCache>
            </c:numRef>
          </c:yVal>
          <c:smooth val="0"/>
        </c:ser>
        <c:ser>
          <c:idx val="11"/>
          <c:order val="11"/>
          <c:tx>
            <c:v>Estimated model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Charts!$H$13</c:f>
              <c:numCache>
                <c:formatCode>#,##0</c:formatCode>
                <c:ptCount val="1"/>
                <c:pt idx="0">
                  <c:v>25000</c:v>
                </c:pt>
              </c:numCache>
            </c:numRef>
          </c:xVal>
          <c:yVal>
            <c:numRef>
              <c:f>Charts!$I$13</c:f>
              <c:numCache>
                <c:formatCode>#,##0</c:formatCode>
                <c:ptCount val="1"/>
                <c:pt idx="0">
                  <c:v>62111.140173201959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257376"/>
        <c:axId val="551257768"/>
      </c:scatterChart>
      <c:valAx>
        <c:axId val="55125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Topside weight (tonnes)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257768"/>
        <c:crosses val="autoZero"/>
        <c:crossBetween val="midCat"/>
      </c:valAx>
      <c:valAx>
        <c:axId val="551257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(m^3)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257376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Estimation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Charts!$A$2:$A$8</c:f>
              <c:numCache>
                <c:formatCode>#,##0</c:formatCode>
                <c:ptCount val="7"/>
                <c:pt idx="0">
                  <c:v>20000</c:v>
                </c:pt>
                <c:pt idx="1">
                  <c:v>30000</c:v>
                </c:pt>
                <c:pt idx="2">
                  <c:v>40000</c:v>
                </c:pt>
                <c:pt idx="3">
                  <c:v>50000</c:v>
                </c:pt>
                <c:pt idx="4">
                  <c:v>60000</c:v>
                </c:pt>
                <c:pt idx="5">
                  <c:v>70000</c:v>
                </c:pt>
                <c:pt idx="6">
                  <c:v>80000</c:v>
                </c:pt>
              </c:numCache>
            </c:numRef>
          </c:xVal>
          <c:yVal>
            <c:numRef>
              <c:f>Charts!$C$2:$C$8</c:f>
              <c:numCache>
                <c:formatCode>General</c:formatCode>
                <c:ptCount val="7"/>
                <c:pt idx="0">
                  <c:v>16</c:v>
                </c:pt>
                <c:pt idx="1">
                  <c:v>18.3</c:v>
                </c:pt>
                <c:pt idx="2">
                  <c:v>20.6</c:v>
                </c:pt>
                <c:pt idx="3">
                  <c:v>22.8</c:v>
                </c:pt>
                <c:pt idx="4">
                  <c:v>23.6</c:v>
                </c:pt>
                <c:pt idx="5">
                  <c:v>24.3</c:v>
                </c:pt>
                <c:pt idx="6">
                  <c:v>24.9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258944"/>
        <c:axId val="551259336"/>
      </c:scatterChart>
      <c:scatterChart>
        <c:scatterStyle val="lineMarker"/>
        <c:varyColors val="0"/>
        <c:ser>
          <c:idx val="1"/>
          <c:order val="1"/>
          <c:tx>
            <c:strRef>
              <c:f>Charts!$G$2</c:f>
              <c:strCache>
                <c:ptCount val="1"/>
                <c:pt idx="0">
                  <c:v>Kristin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Charts!$H$2</c:f>
              <c:numCache>
                <c:formatCode>#,##0</c:formatCode>
                <c:ptCount val="1"/>
                <c:pt idx="0">
                  <c:v>20000</c:v>
                </c:pt>
              </c:numCache>
            </c:numRef>
          </c:xVal>
          <c:yVal>
            <c:numRef>
              <c:f>Charts!$J$2</c:f>
              <c:numCache>
                <c:formatCode>General</c:formatCode>
                <c:ptCount val="1"/>
                <c:pt idx="0">
                  <c:v>17.8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Charts!$G$3</c:f>
              <c:strCache>
                <c:ptCount val="1"/>
                <c:pt idx="0">
                  <c:v>Gjøa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Charts!$H$3</c:f>
              <c:numCache>
                <c:formatCode>#,##0</c:formatCode>
                <c:ptCount val="1"/>
                <c:pt idx="0">
                  <c:v>22000</c:v>
                </c:pt>
              </c:numCache>
            </c:numRef>
          </c:xVal>
          <c:yVal>
            <c:numRef>
              <c:f>Charts!$J$3</c:f>
              <c:numCache>
                <c:formatCode>General</c:formatCode>
                <c:ptCount val="1"/>
                <c:pt idx="0">
                  <c:v>17.8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Charts!$G$4</c:f>
              <c:strCache>
                <c:ptCount val="1"/>
                <c:pt idx="0">
                  <c:v>Visund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Charts!$H$4</c:f>
              <c:numCache>
                <c:formatCode>#,##0</c:formatCode>
                <c:ptCount val="1"/>
                <c:pt idx="0">
                  <c:v>25000</c:v>
                </c:pt>
              </c:numCache>
            </c:numRef>
          </c:xVal>
          <c:yVal>
            <c:numRef>
              <c:f>Charts!$J$4</c:f>
              <c:numCache>
                <c:formatCode>General</c:formatCode>
                <c:ptCount val="1"/>
                <c:pt idx="0">
                  <c:v>16.8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Charts!$G$5</c:f>
              <c:strCache>
                <c:ptCount val="1"/>
                <c:pt idx="0">
                  <c:v>Snorre 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Charts!$H$5</c:f>
              <c:numCache>
                <c:formatCode>#,##0</c:formatCode>
                <c:ptCount val="1"/>
                <c:pt idx="0">
                  <c:v>28000</c:v>
                </c:pt>
              </c:numCache>
            </c:numRef>
          </c:xVal>
          <c:yVal>
            <c:numRef>
              <c:f>Charts!$J$5</c:f>
              <c:numCache>
                <c:formatCode>General</c:formatCode>
                <c:ptCount val="1"/>
                <c:pt idx="0">
                  <c:v>17.5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Charts!$G$6</c:f>
              <c:strCache>
                <c:ptCount val="1"/>
                <c:pt idx="0">
                  <c:v>P-52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Charts!$H$6</c:f>
              <c:numCache>
                <c:formatCode>#,##0</c:formatCode>
                <c:ptCount val="1"/>
                <c:pt idx="0">
                  <c:v>32000</c:v>
                </c:pt>
              </c:numCache>
            </c:numRef>
          </c:xVal>
          <c:yVal>
            <c:numRef>
              <c:f>Charts!$J$6</c:f>
              <c:numCache>
                <c:formatCode>General</c:formatCode>
                <c:ptCount val="1"/>
                <c:pt idx="0">
                  <c:v>17.8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Charts!$G$8</c:f>
              <c:strCache>
                <c:ptCount val="1"/>
                <c:pt idx="0">
                  <c:v>Atlantis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Charts!$H$8</c:f>
              <c:numCache>
                <c:formatCode>#,##0</c:formatCode>
                <c:ptCount val="1"/>
                <c:pt idx="0">
                  <c:v>35500</c:v>
                </c:pt>
              </c:numCache>
            </c:numRef>
          </c:xVal>
          <c:yVal>
            <c:numRef>
              <c:f>Charts!$J$8</c:f>
              <c:numCache>
                <c:formatCode>General</c:formatCode>
                <c:ptCount val="1"/>
                <c:pt idx="0">
                  <c:v>20.5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Charts!$G$9</c:f>
              <c:strCache>
                <c:ptCount val="1"/>
                <c:pt idx="0">
                  <c:v>Default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Charts!$H$9</c:f>
              <c:numCache>
                <c:formatCode>#,##0</c:formatCode>
                <c:ptCount val="1"/>
                <c:pt idx="0">
                  <c:v>50661</c:v>
                </c:pt>
              </c:numCache>
            </c:numRef>
          </c:xVal>
          <c:yVal>
            <c:numRef>
              <c:f>Charts!$J$9</c:f>
              <c:numCache>
                <c:formatCode>General</c:formatCode>
                <c:ptCount val="1"/>
                <c:pt idx="0">
                  <c:v>23</c:v>
                </c:pt>
              </c:numCache>
            </c:numRef>
          </c:yVal>
          <c:smooth val="0"/>
        </c:ser>
        <c:ser>
          <c:idx val="5"/>
          <c:order val="8"/>
          <c:tx>
            <c:strRef>
              <c:f>Charts!$G$10</c:f>
              <c:strCache>
                <c:ptCount val="1"/>
                <c:pt idx="0">
                  <c:v>Thunder Horse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Charts!$H$10</c:f>
              <c:numCache>
                <c:formatCode>#,##0</c:formatCode>
                <c:ptCount val="1"/>
                <c:pt idx="0">
                  <c:v>57100</c:v>
                </c:pt>
              </c:numCache>
            </c:numRef>
          </c:xVal>
          <c:yVal>
            <c:numRef>
              <c:f>Charts!$J$10</c:f>
              <c:numCache>
                <c:formatCode>General</c:formatCode>
                <c:ptCount val="1"/>
                <c:pt idx="0">
                  <c:v>23.2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258944"/>
        <c:axId val="551259336"/>
      </c:scatterChart>
      <c:valAx>
        <c:axId val="551258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Topside weight (tonnes)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259336"/>
        <c:crosses val="autoZero"/>
        <c:crossBetween val="midCat"/>
      </c:valAx>
      <c:valAx>
        <c:axId val="551259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Column width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258944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Charts!$A$2:$A$8</c:f>
              <c:numCache>
                <c:formatCode>#,##0</c:formatCode>
                <c:ptCount val="7"/>
                <c:pt idx="0">
                  <c:v>20000</c:v>
                </c:pt>
                <c:pt idx="1">
                  <c:v>30000</c:v>
                </c:pt>
                <c:pt idx="2">
                  <c:v>40000</c:v>
                </c:pt>
                <c:pt idx="3">
                  <c:v>50000</c:v>
                </c:pt>
                <c:pt idx="4">
                  <c:v>60000</c:v>
                </c:pt>
                <c:pt idx="5">
                  <c:v>70000</c:v>
                </c:pt>
                <c:pt idx="6">
                  <c:v>80000</c:v>
                </c:pt>
              </c:numCache>
            </c:numRef>
          </c:xVal>
          <c:yVal>
            <c:numRef>
              <c:f>Charts!$D$2:$D$8</c:f>
              <c:numCache>
                <c:formatCode>General</c:formatCode>
                <c:ptCount val="7"/>
                <c:pt idx="0">
                  <c:v>85</c:v>
                </c:pt>
                <c:pt idx="1">
                  <c:v>91.4</c:v>
                </c:pt>
                <c:pt idx="2">
                  <c:v>97.7</c:v>
                </c:pt>
                <c:pt idx="3">
                  <c:v>102.3</c:v>
                </c:pt>
                <c:pt idx="4">
                  <c:v>109.7</c:v>
                </c:pt>
                <c:pt idx="5">
                  <c:v>115.2</c:v>
                </c:pt>
                <c:pt idx="6">
                  <c:v>118.9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188312"/>
        <c:axId val="551187920"/>
      </c:scatterChart>
      <c:scatterChart>
        <c:scatterStyle val="lineMarker"/>
        <c:varyColors val="0"/>
        <c:ser>
          <c:idx val="1"/>
          <c:order val="1"/>
          <c:tx>
            <c:strRef>
              <c:f>Charts!$G$2</c:f>
              <c:strCache>
                <c:ptCount val="1"/>
                <c:pt idx="0">
                  <c:v>Kristin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Charts!$H$2</c:f>
              <c:numCache>
                <c:formatCode>#,##0</c:formatCode>
                <c:ptCount val="1"/>
                <c:pt idx="0">
                  <c:v>20000</c:v>
                </c:pt>
              </c:numCache>
            </c:numRef>
          </c:xVal>
          <c:yVal>
            <c:numRef>
              <c:f>Charts!$M$2</c:f>
              <c:numCache>
                <c:formatCode>0.0</c:formatCode>
                <c:ptCount val="1"/>
                <c:pt idx="0">
                  <c:v>88.3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Charts!$G$3</c:f>
              <c:strCache>
                <c:ptCount val="1"/>
                <c:pt idx="0">
                  <c:v>Gjøa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Charts!$H$3</c:f>
              <c:numCache>
                <c:formatCode>#,##0</c:formatCode>
                <c:ptCount val="1"/>
                <c:pt idx="0">
                  <c:v>22000</c:v>
                </c:pt>
              </c:numCache>
            </c:numRef>
          </c:xVal>
          <c:yVal>
            <c:numRef>
              <c:f>Charts!$M$3</c:f>
              <c:numCache>
                <c:formatCode>0.0</c:formatCode>
                <c:ptCount val="1"/>
                <c:pt idx="0">
                  <c:v>85.3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Charts!$G$4</c:f>
              <c:strCache>
                <c:ptCount val="1"/>
                <c:pt idx="0">
                  <c:v>Visund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Charts!$H$4</c:f>
              <c:numCache>
                <c:formatCode>#,##0</c:formatCode>
                <c:ptCount val="1"/>
                <c:pt idx="0">
                  <c:v>25000</c:v>
                </c:pt>
              </c:numCache>
            </c:numRef>
          </c:xVal>
          <c:yVal>
            <c:numRef>
              <c:f>Charts!$M$4</c:f>
              <c:numCache>
                <c:formatCode>0.0</c:formatCode>
                <c:ptCount val="1"/>
                <c:pt idx="0">
                  <c:v>84.5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Charts!$G$5</c:f>
              <c:strCache>
                <c:ptCount val="1"/>
                <c:pt idx="0">
                  <c:v>Snorre 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5"/>
                </a:solidFill>
                <a:round/>
              </a:ln>
              <a:effectLst/>
            </c:spPr>
          </c:marker>
          <c:xVal>
            <c:numRef>
              <c:f>Charts!$H$5</c:f>
              <c:numCache>
                <c:formatCode>#,##0</c:formatCode>
                <c:ptCount val="1"/>
                <c:pt idx="0">
                  <c:v>28000</c:v>
                </c:pt>
              </c:numCache>
            </c:numRef>
          </c:xVal>
          <c:yVal>
            <c:numRef>
              <c:f>Charts!$M$5</c:f>
              <c:numCache>
                <c:formatCode>0.0</c:formatCode>
                <c:ptCount val="1"/>
                <c:pt idx="0">
                  <c:v>85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Charts!$G$7</c:f>
              <c:strCache>
                <c:ptCount val="1"/>
                <c:pt idx="0">
                  <c:v>Åsgard 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Charts!$H$7</c:f>
              <c:numCache>
                <c:formatCode>#,##0</c:formatCode>
                <c:ptCount val="1"/>
                <c:pt idx="0">
                  <c:v>42000</c:v>
                </c:pt>
              </c:numCache>
            </c:numRef>
          </c:xVal>
          <c:yVal>
            <c:numRef>
              <c:f>Charts!$M$7</c:f>
              <c:numCache>
                <c:formatCode>0.0</c:formatCode>
                <c:ptCount val="1"/>
                <c:pt idx="0">
                  <c:v>102.4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Charts!$G$8</c:f>
              <c:strCache>
                <c:ptCount val="1"/>
                <c:pt idx="0">
                  <c:v>Atlantis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Charts!$H$8</c:f>
              <c:numCache>
                <c:formatCode>#,##0</c:formatCode>
                <c:ptCount val="1"/>
                <c:pt idx="0">
                  <c:v>35500</c:v>
                </c:pt>
              </c:numCache>
            </c:numRef>
          </c:xVal>
          <c:yVal>
            <c:numRef>
              <c:f>Charts!$M$8</c:f>
              <c:numCache>
                <c:formatCode>0.0</c:formatCode>
                <c:ptCount val="1"/>
                <c:pt idx="0">
                  <c:v>89.6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Charts!$G$9</c:f>
              <c:strCache>
                <c:ptCount val="1"/>
                <c:pt idx="0">
                  <c:v>Default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Charts!$H$9</c:f>
              <c:numCache>
                <c:formatCode>#,##0</c:formatCode>
                <c:ptCount val="1"/>
                <c:pt idx="0">
                  <c:v>50661</c:v>
                </c:pt>
              </c:numCache>
            </c:numRef>
          </c:xVal>
          <c:yVal>
            <c:numRef>
              <c:f>Charts!$M$9</c:f>
              <c:numCache>
                <c:formatCode>0.0</c:formatCode>
                <c:ptCount val="1"/>
                <c:pt idx="0">
                  <c:v>102.5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Charts!$G$10</c:f>
              <c:strCache>
                <c:ptCount val="1"/>
                <c:pt idx="0">
                  <c:v>Thunder Horse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Charts!$H$10</c:f>
              <c:numCache>
                <c:formatCode>#,##0</c:formatCode>
                <c:ptCount val="1"/>
                <c:pt idx="0">
                  <c:v>57100</c:v>
                </c:pt>
              </c:numCache>
            </c:numRef>
          </c:xVal>
          <c:yVal>
            <c:numRef>
              <c:f>Charts!$M$10</c:f>
              <c:numCache>
                <c:formatCode>0.0</c:formatCode>
                <c:ptCount val="1"/>
                <c:pt idx="0">
                  <c:v>110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Charts!$G$11</c:f>
              <c:strCache>
                <c:ptCount val="1"/>
                <c:pt idx="0">
                  <c:v>Ichthys*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marker>
          <c:xVal>
            <c:numRef>
              <c:f>Charts!$H$11</c:f>
              <c:numCache>
                <c:formatCode>#,##0</c:formatCode>
                <c:ptCount val="1"/>
                <c:pt idx="0">
                  <c:v>67800</c:v>
                </c:pt>
              </c:numCache>
            </c:numRef>
          </c:xVal>
          <c:yVal>
            <c:numRef>
              <c:f>Charts!$M$11</c:f>
              <c:numCache>
                <c:formatCode>0.0</c:formatCode>
                <c:ptCount val="1"/>
                <c:pt idx="0">
                  <c:v>110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188312"/>
        <c:axId val="551187920"/>
      </c:scatterChart>
      <c:valAx>
        <c:axId val="551188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Topside weight (tonnes)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187920"/>
        <c:crosses val="autoZero"/>
        <c:crossBetween val="midCat"/>
      </c:valAx>
      <c:valAx>
        <c:axId val="55118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Pontoon length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188312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190500</xdr:rowOff>
    </xdr:from>
    <xdr:to>
      <xdr:col>7</xdr:col>
      <xdr:colOff>38099</xdr:colOff>
      <xdr:row>31</xdr:row>
      <xdr:rowOff>21981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20</xdr:row>
      <xdr:rowOff>1</xdr:rowOff>
    </xdr:from>
    <xdr:to>
      <xdr:col>12</xdr:col>
      <xdr:colOff>1181100</xdr:colOff>
      <xdr:row>31</xdr:row>
      <xdr:rowOff>14654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1066800</xdr:colOff>
      <xdr:row>20</xdr:row>
      <xdr:rowOff>1</xdr:rowOff>
    </xdr:from>
    <xdr:to>
      <xdr:col>18</xdr:col>
      <xdr:colOff>609600</xdr:colOff>
      <xdr:row>31</xdr:row>
      <xdr:rowOff>14654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22</xdr:row>
      <xdr:rowOff>185737</xdr:rowOff>
    </xdr:from>
    <xdr:to>
      <xdr:col>11</xdr:col>
      <xdr:colOff>828675</xdr:colOff>
      <xdr:row>36</xdr:row>
      <xdr:rowOff>161925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14286</xdr:rowOff>
    </xdr:from>
    <xdr:to>
      <xdr:col>5</xdr:col>
      <xdr:colOff>0</xdr:colOff>
      <xdr:row>37</xdr:row>
      <xdr:rowOff>190499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14286</xdr:rowOff>
    </xdr:from>
    <xdr:to>
      <xdr:col>5</xdr:col>
      <xdr:colOff>0</xdr:colOff>
      <xdr:row>53</xdr:row>
      <xdr:rowOff>190499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zoomScaleNormal="100" workbookViewId="0">
      <selection activeCell="I11" sqref="I11"/>
    </sheetView>
  </sheetViews>
  <sheetFormatPr baseColWidth="10" defaultRowHeight="15" x14ac:dyDescent="0.25"/>
  <cols>
    <col min="1" max="1" width="17.7109375" bestFit="1" customWidth="1"/>
    <col min="2" max="2" width="14.28515625" bestFit="1" customWidth="1"/>
    <col min="3" max="3" width="3" bestFit="1" customWidth="1"/>
    <col min="4" max="4" width="3.5703125" style="6" customWidth="1"/>
    <col min="5" max="5" width="16.28515625" style="6" bestFit="1" customWidth="1"/>
    <col min="6" max="6" width="12.140625" style="6" customWidth="1"/>
    <col min="7" max="7" width="4.7109375" style="6" bestFit="1" customWidth="1"/>
    <col min="8" max="8" width="3.5703125" customWidth="1"/>
    <col min="9" max="9" width="24" bestFit="1" customWidth="1"/>
    <col min="10" max="10" width="12.7109375" customWidth="1"/>
    <col min="11" max="11" width="9.5703125" bestFit="1" customWidth="1"/>
    <col min="12" max="12" width="3.5703125" customWidth="1"/>
    <col min="13" max="13" width="25.7109375" bestFit="1" customWidth="1"/>
    <col min="14" max="14" width="12.42578125" bestFit="1" customWidth="1"/>
    <col min="15" max="15" width="13.28515625" bestFit="1" customWidth="1"/>
    <col min="16" max="16" width="5" bestFit="1" customWidth="1"/>
  </cols>
  <sheetData>
    <row r="1" spans="1:18" x14ac:dyDescent="0.25">
      <c r="A1" s="140" t="s">
        <v>100</v>
      </c>
      <c r="B1" s="140"/>
      <c r="C1" s="140"/>
      <c r="D1" s="46"/>
      <c r="E1" s="142" t="s">
        <v>98</v>
      </c>
      <c r="F1" s="142"/>
      <c r="G1" s="142"/>
      <c r="I1" s="141" t="s">
        <v>103</v>
      </c>
      <c r="J1" s="141"/>
      <c r="K1" s="141"/>
      <c r="M1" s="143" t="s">
        <v>99</v>
      </c>
      <c r="N1" s="143"/>
      <c r="O1" s="143"/>
      <c r="P1" s="143"/>
    </row>
    <row r="2" spans="1:18" ht="15.75" thickBot="1" x14ac:dyDescent="0.3">
      <c r="A2" s="9"/>
      <c r="B2" s="9"/>
      <c r="C2" s="9"/>
      <c r="D2" s="9"/>
      <c r="E2" s="9"/>
      <c r="F2" s="9"/>
      <c r="G2" s="9"/>
      <c r="H2" s="4"/>
      <c r="I2" s="9"/>
      <c r="J2" s="9"/>
      <c r="K2" s="9"/>
      <c r="N2" s="23" t="s">
        <v>51</v>
      </c>
      <c r="O2" s="22" t="s">
        <v>52</v>
      </c>
    </row>
    <row r="3" spans="1:18" x14ac:dyDescent="0.25">
      <c r="A3" s="109" t="s">
        <v>0</v>
      </c>
      <c r="B3" s="134">
        <v>25000000</v>
      </c>
      <c r="C3" s="29" t="s">
        <v>1</v>
      </c>
      <c r="D3" s="9"/>
      <c r="E3" s="60" t="s">
        <v>5</v>
      </c>
      <c r="F3" s="58">
        <f>IF(B4="Norwegian Sea",16,IF(B4="Gulf of Mexico",12,IF(B4="Mid-Atlantic",8,IF(B4="West Africa",4,0))))</f>
        <v>16</v>
      </c>
      <c r="G3" s="29" t="s">
        <v>3</v>
      </c>
      <c r="H3" s="4"/>
      <c r="I3" s="109" t="s">
        <v>17</v>
      </c>
      <c r="J3" s="137">
        <v>1025</v>
      </c>
      <c r="K3" s="29" t="s">
        <v>21</v>
      </c>
      <c r="M3" s="12" t="s">
        <v>2</v>
      </c>
      <c r="N3" s="50">
        <f>IF(AND(F3=16,B3&lt;35000000),'Air gap data'!B4,IF(AND(F3=16,B3&lt;50661100),'Air gap data'!C4,IF(AND(F3=16,B3&lt;80000000),'Air gap data'!D4,IF(AND(F3=12,B3&lt;40000000),'Air gap data'!B7,IF(AND(F3=12,B3&lt;60000000),'Air gap data'!C7,IF(AND(F3=12,B3&lt;80000000),'Air gap data'!D7,IF(AND(F3=8,B3&lt;50000000),'Air gap data'!B10,IF(AND(F3=8,B3&lt;80000000),'Air gap data'!C10,12))))))))+IF(B5="-2 m",0,IF(B5="-1 m",1,IF(B5="0 m",2,IF(B5="+1 m",3,IF(B5="+2 m",4,0)))))</f>
        <v>20</v>
      </c>
      <c r="O3" s="43">
        <f>IF(AND(F3=16,B3&lt;30000000),'Air gap data'!F4,IF(AND(F3=16,B3&gt;29999999),'Air gap data'!G4,IF(AND(F3=12,B3&lt;35000000),'Air gap data'!F7,IF(AND(F3=12,B3&gt;34999999),'Air gap data'!G7,12))))+IF(B5="-2 m",0,IF(B5="-1 m",1,IF(B5="0 m",2,IF(B5="+1 m",3,IF(B5="+2 m",4,0)))))</f>
        <v>22</v>
      </c>
      <c r="P3" s="19" t="s">
        <v>3</v>
      </c>
    </row>
    <row r="4" spans="1:18" x14ac:dyDescent="0.25">
      <c r="A4" s="111" t="s">
        <v>97</v>
      </c>
      <c r="B4" s="135" t="s">
        <v>80</v>
      </c>
      <c r="C4" s="31"/>
      <c r="D4" s="9"/>
      <c r="E4" s="61" t="s">
        <v>7</v>
      </c>
      <c r="F4" s="57">
        <f>IF(B4="Norwegian Sea",18,IF(B4="Gulf of Mexico",15,IF(B4="Mid-Atlantic",14,IF(B4="West Africa",16,0))))</f>
        <v>18</v>
      </c>
      <c r="G4" s="31" t="s">
        <v>8</v>
      </c>
      <c r="H4" s="4"/>
      <c r="I4" s="110" t="s">
        <v>109</v>
      </c>
      <c r="J4" s="138">
        <v>200</v>
      </c>
      <c r="K4" s="20" t="s">
        <v>21</v>
      </c>
      <c r="M4" s="11" t="s">
        <v>6</v>
      </c>
      <c r="N4" s="8">
        <f>22+((B3-20000000)/15330525)</f>
        <v>22.326146690997209</v>
      </c>
      <c r="O4" s="38">
        <v>44</v>
      </c>
      <c r="P4" s="20" t="s">
        <v>3</v>
      </c>
    </row>
    <row r="5" spans="1:18" ht="15.75" thickBot="1" x14ac:dyDescent="0.3">
      <c r="A5" s="112" t="s">
        <v>92</v>
      </c>
      <c r="B5" s="136" t="s">
        <v>115</v>
      </c>
      <c r="C5" s="33"/>
      <c r="D5" s="9"/>
      <c r="E5" s="62" t="s">
        <v>74</v>
      </c>
      <c r="F5" s="59">
        <f>F4*(0.6673+(0.05037*3)-(0.00623*(3^2))+(0.0003341*(3^2)))</f>
        <v>13.776244200000001</v>
      </c>
      <c r="G5" s="33" t="s">
        <v>8</v>
      </c>
      <c r="H5" s="4"/>
      <c r="I5" s="111" t="s">
        <v>104</v>
      </c>
      <c r="J5" s="138">
        <v>150</v>
      </c>
      <c r="K5" s="31" t="s">
        <v>106</v>
      </c>
      <c r="M5" s="11" t="s">
        <v>9</v>
      </c>
      <c r="N5" s="24">
        <f>IF(B3&gt;50661049,Functions!C4,Functions!B4)</f>
        <v>17.141513418490234</v>
      </c>
      <c r="O5" s="38">
        <f>N5+1</f>
        <v>18.141513418490234</v>
      </c>
      <c r="P5" s="20" t="s">
        <v>3</v>
      </c>
    </row>
    <row r="6" spans="1:18" x14ac:dyDescent="0.25">
      <c r="A6" s="4"/>
      <c r="B6" s="4"/>
      <c r="C6" s="4"/>
      <c r="D6" s="4"/>
      <c r="E6" s="9"/>
      <c r="F6" s="89"/>
      <c r="G6" s="9"/>
      <c r="H6" s="4"/>
      <c r="I6" s="111" t="s">
        <v>18</v>
      </c>
      <c r="J6" s="138">
        <v>9.81</v>
      </c>
      <c r="K6" s="31" t="s">
        <v>19</v>
      </c>
      <c r="M6" s="11" t="s">
        <v>11</v>
      </c>
      <c r="N6" s="8">
        <f>N3+N4</f>
        <v>42.326146690997206</v>
      </c>
      <c r="O6" s="38">
        <f>O3+O4</f>
        <v>66</v>
      </c>
      <c r="P6" s="20" t="s">
        <v>3</v>
      </c>
    </row>
    <row r="7" spans="1:18" ht="15.75" thickBot="1" x14ac:dyDescent="0.3">
      <c r="H7" s="4"/>
      <c r="I7" s="112" t="s">
        <v>42</v>
      </c>
      <c r="J7" s="139">
        <v>4</v>
      </c>
      <c r="K7" s="33" t="s">
        <v>3</v>
      </c>
      <c r="M7" s="11" t="s">
        <v>12</v>
      </c>
      <c r="N7" s="8">
        <f>((N10-((N4-N9)*N5*N5*4))/(N8*N9*4))</f>
        <v>72.335671790790258</v>
      </c>
      <c r="O7" s="38">
        <f>IF(B3&lt;25000000,Functions!B9,IF(B3&lt;30000000,Functions!C9,IF(B3&lt;40000000,Functions!D9,Functions!E9)))</f>
        <v>79.649999999350001</v>
      </c>
      <c r="P7" s="20" t="s">
        <v>3</v>
      </c>
    </row>
    <row r="8" spans="1:18" x14ac:dyDescent="0.25">
      <c r="H8" s="4"/>
      <c r="M8" s="11" t="s">
        <v>13</v>
      </c>
      <c r="N8" s="8">
        <f>N5</f>
        <v>17.141513418490234</v>
      </c>
      <c r="O8" s="38">
        <f>O5</f>
        <v>18.141513418490234</v>
      </c>
      <c r="P8" s="20" t="s">
        <v>3</v>
      </c>
    </row>
    <row r="9" spans="1:18" x14ac:dyDescent="0.25">
      <c r="G9" s="4"/>
      <c r="H9" s="4"/>
      <c r="I9" s="9"/>
      <c r="J9" s="56"/>
      <c r="K9" s="9"/>
      <c r="M9" s="11" t="s">
        <v>14</v>
      </c>
      <c r="N9" s="8">
        <f>IF(B3&gt;50661049,Functions!C3,IF(Functions!B3&gt;11,11,Functions!B3))</f>
        <v>9.4784400729916296</v>
      </c>
      <c r="O9" s="38">
        <f>8+((B3-20000000)/30661050)</f>
        <v>8.1630733454986046</v>
      </c>
      <c r="P9" s="20" t="s">
        <v>3</v>
      </c>
    </row>
    <row r="10" spans="1:18" ht="15.75" thickBot="1" x14ac:dyDescent="0.3">
      <c r="B10" s="4"/>
      <c r="C10" s="4"/>
      <c r="G10" s="4"/>
      <c r="H10" s="4"/>
      <c r="I10" s="4"/>
      <c r="J10" s="4"/>
      <c r="K10" s="4"/>
      <c r="M10" s="5" t="s">
        <v>15</v>
      </c>
      <c r="N10" s="25">
        <f>N11/J3</f>
        <v>62111.140173201959</v>
      </c>
      <c r="O10" s="39">
        <f>(4*(O4-O9)*O5*O5)+(O7*O8*O9*4)</f>
        <v>94359.444871939311</v>
      </c>
      <c r="P10" s="21" t="s">
        <v>16</v>
      </c>
    </row>
    <row r="11" spans="1:18" x14ac:dyDescent="0.25">
      <c r="A11" t="s">
        <v>110</v>
      </c>
      <c r="C11" s="4"/>
      <c r="G11" s="4"/>
      <c r="H11" s="4"/>
      <c r="I11" s="4"/>
      <c r="J11" s="4"/>
      <c r="K11" s="4"/>
      <c r="M11" s="12" t="s">
        <v>4</v>
      </c>
      <c r="N11" s="26">
        <f>B3/N13</f>
        <v>63663918.67753201</v>
      </c>
      <c r="O11" s="40">
        <f>O10*J3</f>
        <v>96718430.993737787</v>
      </c>
      <c r="P11" s="19" t="s">
        <v>1</v>
      </c>
    </row>
    <row r="12" spans="1:18" x14ac:dyDescent="0.25">
      <c r="A12" s="4" t="s">
        <v>111</v>
      </c>
      <c r="C12" s="4"/>
      <c r="D12" s="4"/>
      <c r="F12" s="1"/>
      <c r="G12" s="9"/>
      <c r="I12" s="1"/>
      <c r="M12" s="11" t="s">
        <v>49</v>
      </c>
      <c r="N12" s="7">
        <f>N11-B3</f>
        <v>38663918.67753201</v>
      </c>
      <c r="O12" s="41">
        <f>O11-B3</f>
        <v>71718430.993737787</v>
      </c>
      <c r="P12" s="20" t="s">
        <v>1</v>
      </c>
    </row>
    <row r="13" spans="1:18" ht="15.75" thickBot="1" x14ac:dyDescent="0.3">
      <c r="C13" s="4"/>
      <c r="F13" s="1"/>
      <c r="G13" s="9"/>
      <c r="H13" s="4"/>
      <c r="M13" s="5" t="s">
        <v>10</v>
      </c>
      <c r="N13" s="27">
        <f>IF(B3&gt;50661049,Functions!C5,Functions!B5)</f>
        <v>0.39268710628117354</v>
      </c>
      <c r="O13" s="42">
        <f>B3/O11</f>
        <v>0.25848227419672132</v>
      </c>
      <c r="P13" s="21"/>
    </row>
    <row r="14" spans="1:18" x14ac:dyDescent="0.25">
      <c r="A14" s="4"/>
      <c r="C14" s="4"/>
      <c r="G14" s="4"/>
      <c r="H14" s="4"/>
      <c r="M14" s="10" t="s">
        <v>45</v>
      </c>
      <c r="N14" s="28">
        <f>Stability!G13</f>
        <v>28.669836979433185</v>
      </c>
      <c r="O14" s="43">
        <f>Stability!H13</f>
        <v>33.591272153737407</v>
      </c>
      <c r="P14" s="19" t="s">
        <v>3</v>
      </c>
    </row>
    <row r="15" spans="1:18" x14ac:dyDescent="0.25">
      <c r="C15" s="4"/>
      <c r="G15" s="9"/>
      <c r="H15" s="4"/>
      <c r="M15" s="11" t="s">
        <v>47</v>
      </c>
      <c r="N15" s="8">
        <f>Stability!G16</f>
        <v>10.219664969482983</v>
      </c>
      <c r="O15" s="38">
        <f>Stability!H16</f>
        <v>17.516785413112594</v>
      </c>
      <c r="P15" s="20" t="s">
        <v>3</v>
      </c>
      <c r="R15" s="14"/>
    </row>
    <row r="16" spans="1:18" x14ac:dyDescent="0.25">
      <c r="G16" s="4"/>
      <c r="H16" s="4"/>
      <c r="M16" s="11" t="s">
        <v>46</v>
      </c>
      <c r="N16" s="8">
        <f>Stability!G14</f>
        <v>57.204074986600858</v>
      </c>
      <c r="O16" s="38">
        <f>Stability!H14</f>
        <v>79.704750876427553</v>
      </c>
      <c r="P16" s="20" t="s">
        <v>3</v>
      </c>
    </row>
    <row r="17" spans="1:16" ht="15.75" thickBot="1" x14ac:dyDescent="0.3">
      <c r="H17" s="4"/>
      <c r="M17" s="34" t="s">
        <v>48</v>
      </c>
      <c r="N17" s="83">
        <f>Stability!G15</f>
        <v>14.877928295603649</v>
      </c>
      <c r="O17" s="84">
        <f>Stability!H15</f>
        <v>13.704750876427553</v>
      </c>
      <c r="P17" s="85" t="s">
        <v>3</v>
      </c>
    </row>
    <row r="18" spans="1:16" ht="15.75" thickBot="1" x14ac:dyDescent="0.3">
      <c r="B18" s="1"/>
      <c r="H18" s="4"/>
      <c r="M18" s="86" t="s">
        <v>107</v>
      </c>
      <c r="N18" s="88">
        <f>J4*Stability!B14*'Hull dimensions'!J5</f>
        <v>2568529762.6591334</v>
      </c>
      <c r="O18" s="87">
        <f>J4*Stability!C14*'Hull dimensions'!J5</f>
        <v>3699645650.2171888</v>
      </c>
      <c r="P18" s="81" t="s">
        <v>108</v>
      </c>
    </row>
    <row r="19" spans="1:16" x14ac:dyDescent="0.25">
      <c r="H19" s="4"/>
      <c r="M19" s="2"/>
    </row>
    <row r="20" spans="1:16" x14ac:dyDescent="0.25">
      <c r="H20" s="4"/>
      <c r="M20" s="2"/>
    </row>
    <row r="22" spans="1:16" x14ac:dyDescent="0.25">
      <c r="A22" s="17"/>
      <c r="B22" s="6"/>
    </row>
    <row r="23" spans="1:16" x14ac:dyDescent="0.25">
      <c r="N23" s="6"/>
    </row>
  </sheetData>
  <sheetProtection algorithmName="SHA-512" hashValue="evyuHzQBr+FX7HJM8dmeBRufqZQJQz9qgaHHbSsustIy/8/M6XCFLQIWfBcUdxYuTGWDdd3UkRn0ES/U9I9SGg==" saltValue="ttCQaRriLa9w8DQ329A3iQ==" spinCount="100000" sheet="1" objects="1" scenarios="1"/>
  <mergeCells count="4">
    <mergeCell ref="A1:C1"/>
    <mergeCell ref="I1:K1"/>
    <mergeCell ref="E1:G1"/>
    <mergeCell ref="M1:P1"/>
  </mergeCells>
  <dataValidations count="2">
    <dataValidation type="list" allowBlank="1" showInputMessage="1" showErrorMessage="1" sqref="B4">
      <formula1>"Gulf of Mexico,Mid-Atlantic,Norwegian Sea,West Africa"</formula1>
    </dataValidation>
    <dataValidation type="list" allowBlank="1" showInputMessage="1" showErrorMessage="1" sqref="B5">
      <formula1>"'-2 m,'-1 m,'0 m,'+1 m,'+2 m"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3" sqref="B13"/>
    </sheetView>
  </sheetViews>
  <sheetFormatPr baseColWidth="10" defaultRowHeight="15" x14ac:dyDescent="0.25"/>
  <cols>
    <col min="1" max="1" width="20.85546875" bestFit="1" customWidth="1"/>
  </cols>
  <sheetData>
    <row r="1" spans="1:5" ht="15.75" thickBot="1" x14ac:dyDescent="0.3">
      <c r="A1" s="144" t="s">
        <v>101</v>
      </c>
      <c r="B1" s="144"/>
      <c r="C1" s="144"/>
    </row>
    <row r="2" spans="1:5" x14ac:dyDescent="0.25">
      <c r="A2" s="113" t="s">
        <v>0</v>
      </c>
      <c r="B2" s="114" t="s">
        <v>57</v>
      </c>
      <c r="C2" s="115" t="s">
        <v>58</v>
      </c>
      <c r="D2" s="9"/>
    </row>
    <row r="3" spans="1:5" x14ac:dyDescent="0.25">
      <c r="A3" s="116" t="s">
        <v>14</v>
      </c>
      <c r="B3" s="100">
        <f>8.5+(('Hull dimensions'!B3-20000000)/5110175)</f>
        <v>9.4784400729916296</v>
      </c>
      <c r="C3" s="101">
        <f>11+(('Hull dimensions'!B3-50661050)/30661050)</f>
        <v>10.163073345498605</v>
      </c>
      <c r="D3" s="9"/>
    </row>
    <row r="4" spans="1:5" x14ac:dyDescent="0.25">
      <c r="A4" s="116" t="s">
        <v>9</v>
      </c>
      <c r="B4" s="100">
        <f>16+(('Hull dimensions'!B3-20000000)/4380150)</f>
        <v>17.141513418490234</v>
      </c>
      <c r="C4" s="101">
        <f>23+(('Hull dimensions'!B3-50661050)/15330525)</f>
        <v>21.326146690997209</v>
      </c>
      <c r="D4" s="9"/>
    </row>
    <row r="5" spans="1:5" ht="15.75" thickBot="1" x14ac:dyDescent="0.3">
      <c r="A5" s="117" t="s">
        <v>10</v>
      </c>
      <c r="B5" s="118">
        <f>(0.38+(('Hull dimensions'!B3-20000000)/394100899.7))</f>
        <v>0.39268710628117354</v>
      </c>
      <c r="C5" s="119">
        <f>(0.4578+(('Hull dimensions'!B3-50661050)/394100899.7))</f>
        <v>0.39268710627269848</v>
      </c>
      <c r="D5" s="9"/>
    </row>
    <row r="6" spans="1:5" s="6" customFormat="1" x14ac:dyDescent="0.25">
      <c r="A6" s="9"/>
      <c r="B6" s="54"/>
      <c r="C6" s="54"/>
      <c r="D6" s="9"/>
    </row>
    <row r="7" spans="1:5" ht="15.75" thickBot="1" x14ac:dyDescent="0.3">
      <c r="A7" s="144" t="s">
        <v>102</v>
      </c>
      <c r="B7" s="144"/>
      <c r="C7" s="144"/>
      <c r="D7" s="4"/>
      <c r="E7" s="4"/>
    </row>
    <row r="8" spans="1:5" x14ac:dyDescent="0.25">
      <c r="A8" s="113" t="s">
        <v>0</v>
      </c>
      <c r="B8" s="114" t="s">
        <v>75</v>
      </c>
      <c r="C8" s="114" t="s">
        <v>76</v>
      </c>
      <c r="D8" s="114" t="s">
        <v>77</v>
      </c>
      <c r="E8" s="115" t="s">
        <v>78</v>
      </c>
    </row>
    <row r="9" spans="1:5" ht="15.75" thickBot="1" x14ac:dyDescent="0.3">
      <c r="A9" s="117" t="s">
        <v>12</v>
      </c>
      <c r="B9" s="107">
        <f>76.5+(('Hull dimensions'!B3-20000000)/2000000)</f>
        <v>79</v>
      </c>
      <c r="C9" s="107">
        <f>79+(('Hull dimensions'!B3-20000000)/7692307.7)</f>
        <v>79.649999999350001</v>
      </c>
      <c r="D9" s="107">
        <f>80.3+(('Hull dimensions'!B3-20000000)/15384615.4)</f>
        <v>80.624999999674998</v>
      </c>
      <c r="E9" s="120">
        <f>81.6+(('Hull dimensions'!B3-20000000)/76652625)</f>
        <v>81.665229338199438</v>
      </c>
    </row>
    <row r="10" spans="1:5" s="6" customFormat="1" x14ac:dyDescent="0.25">
      <c r="A10" s="9"/>
      <c r="B10" s="100"/>
      <c r="C10" s="100"/>
      <c r="D10" s="100"/>
      <c r="E10" s="100"/>
    </row>
    <row r="11" spans="1:5" ht="15.75" thickBot="1" x14ac:dyDescent="0.3">
      <c r="A11" s="145" t="s">
        <v>112</v>
      </c>
      <c r="B11" s="145"/>
      <c r="C11" s="145"/>
    </row>
    <row r="12" spans="1:5" x14ac:dyDescent="0.25">
      <c r="A12" s="113" t="s">
        <v>20</v>
      </c>
      <c r="B12" s="122">
        <f>4*'Hull dimensions'!N5*'Hull dimensions'!N5</f>
        <v>1175.3259291051231</v>
      </c>
      <c r="C12" s="123" t="s">
        <v>53</v>
      </c>
      <c r="D12" s="9"/>
    </row>
    <row r="13" spans="1:5" x14ac:dyDescent="0.25">
      <c r="A13" s="116" t="s">
        <v>54</v>
      </c>
      <c r="B13" s="13">
        <f>2.2*'Hull dimensions'!J3*3.14*(('Hull dimensions'!N5/2)^2)*(('Hull dimensions'!N7*4)-('Hull dimensions'!N5*2))</f>
        <v>132664983.06833255</v>
      </c>
      <c r="C13" s="124" t="s">
        <v>1</v>
      </c>
      <c r="D13" s="13"/>
    </row>
    <row r="14" spans="1:5" x14ac:dyDescent="0.25">
      <c r="A14" s="116" t="s">
        <v>56</v>
      </c>
      <c r="B14" s="121">
        <f>2*3.14*(SQRT(('Hull dimensions'!N11+B13)/('Hull dimensions'!J3*'Hull dimensions'!J6*('Hull dimensions'!N5*'Hull dimensions'!N5*4))))</f>
        <v>25.596239625882575</v>
      </c>
      <c r="C14" s="124" t="s">
        <v>8</v>
      </c>
      <c r="D14" s="121"/>
    </row>
    <row r="15" spans="1:5" ht="15.75" thickBot="1" x14ac:dyDescent="0.3">
      <c r="A15" s="117" t="s">
        <v>55</v>
      </c>
      <c r="B15" s="125">
        <f>'Hull dimensions'!N8/'Hull dimensions'!N9</f>
        <v>1.8084741040178303</v>
      </c>
      <c r="C15" s="108"/>
      <c r="D15" s="9"/>
    </row>
  </sheetData>
  <mergeCells count="3">
    <mergeCell ref="A1:C1"/>
    <mergeCell ref="A7:C7"/>
    <mergeCell ref="A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J14" sqref="J14"/>
    </sheetView>
  </sheetViews>
  <sheetFormatPr baseColWidth="10" defaultRowHeight="15" x14ac:dyDescent="0.25"/>
  <cols>
    <col min="1" max="1" width="14.7109375" customWidth="1"/>
    <col min="5" max="5" width="6.42578125" customWidth="1"/>
  </cols>
  <sheetData>
    <row r="1" spans="1:8" ht="15.75" thickBot="1" x14ac:dyDescent="0.3">
      <c r="A1" s="51"/>
      <c r="B1" s="156" t="s">
        <v>93</v>
      </c>
      <c r="C1" s="156"/>
      <c r="D1" s="156"/>
      <c r="E1" s="157"/>
      <c r="F1" s="146" t="s">
        <v>96</v>
      </c>
      <c r="G1" s="146"/>
      <c r="H1" s="18"/>
    </row>
    <row r="2" spans="1:8" s="6" customFormat="1" x14ac:dyDescent="0.25">
      <c r="A2" s="52"/>
      <c r="B2" s="147" t="s">
        <v>80</v>
      </c>
      <c r="C2" s="148"/>
      <c r="D2" s="148"/>
      <c r="E2" s="148"/>
      <c r="F2" s="148"/>
      <c r="G2" s="149"/>
    </row>
    <row r="3" spans="1:8" s="6" customFormat="1" x14ac:dyDescent="0.25">
      <c r="A3" s="52" t="s">
        <v>0</v>
      </c>
      <c r="B3" s="90" t="s">
        <v>81</v>
      </c>
      <c r="C3" s="91" t="s">
        <v>82</v>
      </c>
      <c r="D3" s="91" t="s">
        <v>83</v>
      </c>
      <c r="E3" s="126"/>
      <c r="F3" s="91" t="s">
        <v>94</v>
      </c>
      <c r="G3" s="92" t="s">
        <v>95</v>
      </c>
      <c r="H3" s="44"/>
    </row>
    <row r="4" spans="1:8" x14ac:dyDescent="0.25">
      <c r="A4" s="52" t="s">
        <v>87</v>
      </c>
      <c r="B4" s="93">
        <v>18</v>
      </c>
      <c r="C4" s="94">
        <v>20</v>
      </c>
      <c r="D4" s="94">
        <v>22</v>
      </c>
      <c r="E4" s="127"/>
      <c r="F4" s="94">
        <v>20</v>
      </c>
      <c r="G4" s="95">
        <v>22</v>
      </c>
      <c r="H4" s="44"/>
    </row>
    <row r="5" spans="1:8" s="6" customFormat="1" x14ac:dyDescent="0.25">
      <c r="A5" s="52"/>
      <c r="B5" s="150" t="s">
        <v>79</v>
      </c>
      <c r="C5" s="151"/>
      <c r="D5" s="151"/>
      <c r="E5" s="151"/>
      <c r="F5" s="151"/>
      <c r="G5" s="152"/>
      <c r="H5" s="44"/>
    </row>
    <row r="6" spans="1:8" s="6" customFormat="1" x14ac:dyDescent="0.25">
      <c r="A6" s="52" t="s">
        <v>0</v>
      </c>
      <c r="B6" s="96" t="s">
        <v>84</v>
      </c>
      <c r="C6" s="97" t="s">
        <v>85</v>
      </c>
      <c r="D6" s="97" t="s">
        <v>86</v>
      </c>
      <c r="E6" s="127"/>
      <c r="F6" s="97" t="s">
        <v>81</v>
      </c>
      <c r="G6" s="98" t="s">
        <v>82</v>
      </c>
      <c r="H6" s="44"/>
    </row>
    <row r="7" spans="1:8" x14ac:dyDescent="0.25">
      <c r="A7" s="52" t="s">
        <v>87</v>
      </c>
      <c r="B7" s="99">
        <v>16</v>
      </c>
      <c r="C7" s="100">
        <v>18</v>
      </c>
      <c r="D7" s="100">
        <v>20</v>
      </c>
      <c r="E7" s="128"/>
      <c r="F7" s="100">
        <v>16</v>
      </c>
      <c r="G7" s="101">
        <v>18</v>
      </c>
      <c r="H7" s="44"/>
    </row>
    <row r="8" spans="1:8" s="6" customFormat="1" x14ac:dyDescent="0.25">
      <c r="A8" s="52"/>
      <c r="B8" s="150" t="s">
        <v>88</v>
      </c>
      <c r="C8" s="151"/>
      <c r="D8" s="151"/>
      <c r="E8" s="151"/>
      <c r="F8" s="151"/>
      <c r="G8" s="152"/>
      <c r="H8" s="44"/>
    </row>
    <row r="9" spans="1:8" x14ac:dyDescent="0.25">
      <c r="A9" s="52" t="s">
        <v>0</v>
      </c>
      <c r="B9" s="96" t="s">
        <v>89</v>
      </c>
      <c r="C9" s="97" t="s">
        <v>83</v>
      </c>
      <c r="D9" s="94"/>
      <c r="E9" s="127"/>
      <c r="F9" s="97" t="s">
        <v>89</v>
      </c>
      <c r="G9" s="95"/>
      <c r="H9" s="44"/>
    </row>
    <row r="10" spans="1:8" s="6" customFormat="1" x14ac:dyDescent="0.25">
      <c r="A10" s="52" t="s">
        <v>87</v>
      </c>
      <c r="B10" s="102">
        <v>12</v>
      </c>
      <c r="C10" s="103">
        <v>14</v>
      </c>
      <c r="D10" s="100"/>
      <c r="E10" s="128"/>
      <c r="F10" s="100">
        <v>12</v>
      </c>
      <c r="G10" s="101"/>
      <c r="H10" s="45"/>
    </row>
    <row r="11" spans="1:8" s="6" customFormat="1" x14ac:dyDescent="0.25">
      <c r="A11" s="52"/>
      <c r="B11" s="153" t="s">
        <v>90</v>
      </c>
      <c r="C11" s="154"/>
      <c r="D11" s="154"/>
      <c r="E11" s="154"/>
      <c r="F11" s="154"/>
      <c r="G11" s="155"/>
      <c r="H11" s="45"/>
    </row>
    <row r="12" spans="1:8" x14ac:dyDescent="0.25">
      <c r="A12" s="52" t="s">
        <v>0</v>
      </c>
      <c r="B12" s="104" t="s">
        <v>91</v>
      </c>
      <c r="C12" s="94"/>
      <c r="D12" s="94"/>
      <c r="E12" s="127"/>
      <c r="F12" s="97" t="s">
        <v>89</v>
      </c>
      <c r="G12" s="95"/>
      <c r="H12" s="44"/>
    </row>
    <row r="13" spans="1:8" ht="15.75" thickBot="1" x14ac:dyDescent="0.3">
      <c r="A13" s="18" t="s">
        <v>87</v>
      </c>
      <c r="B13" s="105">
        <v>12</v>
      </c>
      <c r="C13" s="106"/>
      <c r="D13" s="106"/>
      <c r="E13" s="129"/>
      <c r="F13" s="107">
        <v>12</v>
      </c>
      <c r="G13" s="108"/>
    </row>
  </sheetData>
  <mergeCells count="6">
    <mergeCell ref="F1:G1"/>
    <mergeCell ref="B2:G2"/>
    <mergeCell ref="B5:G5"/>
    <mergeCell ref="B8:G8"/>
    <mergeCell ref="B11:G11"/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F18" sqref="F18"/>
    </sheetView>
  </sheetViews>
  <sheetFormatPr baseColWidth="10" defaultRowHeight="15" x14ac:dyDescent="0.25"/>
  <cols>
    <col min="1" max="1" width="20.42578125" bestFit="1" customWidth="1"/>
    <col min="2" max="2" width="12.28515625" bestFit="1" customWidth="1"/>
    <col min="3" max="3" width="10.42578125" bestFit="1" customWidth="1"/>
    <col min="4" max="4" width="4.7109375" bestFit="1" customWidth="1"/>
    <col min="5" max="5" width="4.7109375" style="6" customWidth="1"/>
    <col min="7" max="7" width="12.28515625" bestFit="1" customWidth="1"/>
    <col min="8" max="8" width="10.42578125" bestFit="1" customWidth="1"/>
    <col min="9" max="9" width="4.7109375" bestFit="1" customWidth="1"/>
  </cols>
  <sheetData>
    <row r="1" spans="1:9" x14ac:dyDescent="0.25">
      <c r="A1" s="63"/>
      <c r="B1" s="63"/>
      <c r="F1" s="63"/>
      <c r="G1" s="63"/>
    </row>
    <row r="2" spans="1:9" s="6" customFormat="1" ht="15.75" thickBot="1" x14ac:dyDescent="0.3">
      <c r="A2" s="46"/>
      <c r="B2" s="46" t="s">
        <v>93</v>
      </c>
      <c r="C2" s="6" t="s">
        <v>96</v>
      </c>
      <c r="F2" s="63"/>
      <c r="G2" s="63" t="s">
        <v>93</v>
      </c>
      <c r="H2" s="6" t="s">
        <v>96</v>
      </c>
    </row>
    <row r="3" spans="1:9" x14ac:dyDescent="0.25">
      <c r="A3" s="66" t="s">
        <v>22</v>
      </c>
      <c r="B3" s="69"/>
      <c r="C3" s="69"/>
      <c r="D3" s="70"/>
      <c r="E3" s="9"/>
      <c r="F3" s="158" t="s">
        <v>23</v>
      </c>
      <c r="G3" s="159"/>
      <c r="H3" s="159"/>
      <c r="I3" s="160"/>
    </row>
    <row r="4" spans="1:9" x14ac:dyDescent="0.25">
      <c r="A4" s="30" t="s">
        <v>26</v>
      </c>
      <c r="B4" s="67">
        <f>'Hull dimensions'!N8</f>
        <v>17.141513418490234</v>
      </c>
      <c r="C4" s="67">
        <f>'Hull dimensions'!O8</f>
        <v>18.141513418490234</v>
      </c>
      <c r="D4" s="68" t="s">
        <v>3</v>
      </c>
      <c r="E4" s="9"/>
      <c r="F4" s="30" t="s">
        <v>25</v>
      </c>
      <c r="G4" s="53">
        <f>B5/2</f>
        <v>4.7392200364958148</v>
      </c>
      <c r="H4" s="53">
        <f>C5/2</f>
        <v>4.0815366727493023</v>
      </c>
      <c r="I4" s="31" t="s">
        <v>3</v>
      </c>
    </row>
    <row r="5" spans="1:9" x14ac:dyDescent="0.25">
      <c r="A5" s="30" t="s">
        <v>28</v>
      </c>
      <c r="B5" s="53">
        <f>'Hull dimensions'!N9</f>
        <v>9.4784400729916296</v>
      </c>
      <c r="C5" s="53">
        <f>'Hull dimensions'!O9</f>
        <v>8.1630733454986046</v>
      </c>
      <c r="D5" s="31" t="s">
        <v>3</v>
      </c>
      <c r="E5" s="9"/>
      <c r="F5" s="30" t="s">
        <v>27</v>
      </c>
      <c r="G5" s="53">
        <f>B5+(B10/2)</f>
        <v>15.902293381994419</v>
      </c>
      <c r="H5" s="53">
        <f>C5+(C10/2)</f>
        <v>26.081536672749301</v>
      </c>
      <c r="I5" s="31" t="s">
        <v>3</v>
      </c>
    </row>
    <row r="6" spans="1:9" x14ac:dyDescent="0.25">
      <c r="A6" s="30" t="s">
        <v>24</v>
      </c>
      <c r="B6" s="53">
        <f>'Hull dimensions'!N7+'Hull dimensions'!N8</f>
        <v>89.477185209280492</v>
      </c>
      <c r="C6" s="53">
        <f>'Hull dimensions'!O7+'Hull dimensions'!O8</f>
        <v>97.791513417840235</v>
      </c>
      <c r="D6" s="31" t="s">
        <v>3</v>
      </c>
      <c r="E6" s="9"/>
      <c r="F6" s="30" t="s">
        <v>29</v>
      </c>
      <c r="G6" s="53">
        <f>((G4*B7)+(G5*B12))/(B7+B12)</f>
        <v>7.4531473049730463</v>
      </c>
      <c r="H6" s="53">
        <f>((H4*C7)+(H5*C12))/(C7+C12)</f>
        <v>15.081090808773924</v>
      </c>
      <c r="I6" s="31" t="s">
        <v>3</v>
      </c>
    </row>
    <row r="7" spans="1:9" ht="15.75" thickBot="1" x14ac:dyDescent="0.3">
      <c r="A7" s="71" t="s">
        <v>30</v>
      </c>
      <c r="B7" s="72">
        <f>(B6*B6*B5)-(((B6-(2*B4))^2)*B5)</f>
        <v>47010.897455524522</v>
      </c>
      <c r="C7" s="73">
        <f>(C6*C6*C5)-(((C6-(2*C4))^2)*C5)</f>
        <v>47181.63477584262</v>
      </c>
      <c r="D7" s="74" t="s">
        <v>16</v>
      </c>
      <c r="E7" s="9"/>
      <c r="F7" s="116"/>
      <c r="G7" s="9"/>
      <c r="H7" s="9"/>
      <c r="I7" s="124"/>
    </row>
    <row r="8" spans="1:9" x14ac:dyDescent="0.25">
      <c r="A8" s="66" t="s">
        <v>31</v>
      </c>
      <c r="B8" s="69"/>
      <c r="C8" s="77"/>
      <c r="D8" s="70"/>
      <c r="E8" s="9"/>
      <c r="F8" s="161" t="s">
        <v>32</v>
      </c>
      <c r="G8" s="162"/>
      <c r="H8" s="162"/>
      <c r="I8" s="163"/>
    </row>
    <row r="9" spans="1:9" x14ac:dyDescent="0.25">
      <c r="A9" s="30" t="s">
        <v>26</v>
      </c>
      <c r="B9" s="67">
        <f>'Hull dimensions'!N5</f>
        <v>17.141513418490234</v>
      </c>
      <c r="C9" s="76">
        <f>'Hull dimensions'!O5</f>
        <v>18.141513418490234</v>
      </c>
      <c r="D9" s="68" t="s">
        <v>3</v>
      </c>
      <c r="E9" s="9"/>
      <c r="F9" s="30" t="s">
        <v>33</v>
      </c>
      <c r="G9" s="55">
        <f>4*(((1/12)*B9*(B9^3))+(B9*B9*((B11/2)^2)))</f>
        <v>1566237.3470745287</v>
      </c>
      <c r="H9" s="55">
        <f>4*(((1/12)*C9*(C9^3))+(C9*C9*((C11/2)^2)))</f>
        <v>2124048.2156774388</v>
      </c>
      <c r="I9" s="31" t="s">
        <v>34</v>
      </c>
    </row>
    <row r="10" spans="1:9" x14ac:dyDescent="0.25">
      <c r="A10" s="30" t="s">
        <v>36</v>
      </c>
      <c r="B10" s="53">
        <f>'Hull dimensions'!N4-'Hull dimensions'!N9</f>
        <v>12.84770661800558</v>
      </c>
      <c r="C10" s="75">
        <f>'Hull dimensions'!O4-'Hull dimensions'!O9</f>
        <v>35.836926654501397</v>
      </c>
      <c r="D10" s="31" t="s">
        <v>3</v>
      </c>
      <c r="E10" s="9"/>
      <c r="F10" s="30" t="s">
        <v>35</v>
      </c>
      <c r="G10" s="53">
        <f>G9/(B7+B12)</f>
        <v>25.216689674460142</v>
      </c>
      <c r="H10" s="53">
        <f>H9/(C7+C12)</f>
        <v>22.510181344963485</v>
      </c>
      <c r="I10" s="31" t="s">
        <v>3</v>
      </c>
    </row>
    <row r="11" spans="1:9" x14ac:dyDescent="0.25">
      <c r="A11" s="30" t="s">
        <v>39</v>
      </c>
      <c r="B11" s="53">
        <f>'Hull dimensions'!N7</f>
        <v>72.335671790790258</v>
      </c>
      <c r="C11" s="75">
        <f>'Hull dimensions'!O7</f>
        <v>79.649999999350001</v>
      </c>
      <c r="D11" s="31" t="s">
        <v>3</v>
      </c>
      <c r="E11" s="9"/>
      <c r="F11" s="116"/>
      <c r="G11" s="9"/>
      <c r="H11" s="9"/>
      <c r="I11" s="124"/>
    </row>
    <row r="12" spans="1:9" x14ac:dyDescent="0.25">
      <c r="A12" s="30" t="s">
        <v>37</v>
      </c>
      <c r="B12" s="55">
        <f>4*(B9*B9*B10)</f>
        <v>15100.242717677447</v>
      </c>
      <c r="C12" s="64">
        <f>4*(C9*C9*C10)</f>
        <v>47177.810096096699</v>
      </c>
      <c r="D12" s="31" t="s">
        <v>16</v>
      </c>
      <c r="E12" s="9"/>
      <c r="F12" s="161" t="s">
        <v>38</v>
      </c>
      <c r="G12" s="162"/>
      <c r="H12" s="162"/>
      <c r="I12" s="163"/>
    </row>
    <row r="13" spans="1:9" ht="15.75" thickBot="1" x14ac:dyDescent="0.3">
      <c r="A13" s="32" t="s">
        <v>50</v>
      </c>
      <c r="B13" s="65">
        <f>B4*B4*('Hull dimensions'!N3)*4</f>
        <v>23506.518582102464</v>
      </c>
      <c r="C13" s="82">
        <f>C4*C4*'Hull dimensions'!O3*4</f>
        <v>28962.076801966989</v>
      </c>
      <c r="D13" s="33" t="s">
        <v>16</v>
      </c>
      <c r="E13" s="9"/>
      <c r="F13" s="30" t="s">
        <v>40</v>
      </c>
      <c r="G13" s="53">
        <f>G6+G10-'Hull dimensions'!J7</f>
        <v>28.669836979433185</v>
      </c>
      <c r="H13" s="53">
        <f>H6+H10-'Hull dimensions'!J7</f>
        <v>33.591272153737407</v>
      </c>
      <c r="I13" s="31" t="s">
        <v>3</v>
      </c>
    </row>
    <row r="14" spans="1:9" ht="15.75" thickBot="1" x14ac:dyDescent="0.3">
      <c r="A14" s="78" t="s">
        <v>105</v>
      </c>
      <c r="B14" s="79">
        <f>B13+B12+B7</f>
        <v>85617.658755304437</v>
      </c>
      <c r="C14" s="80">
        <f>C13+C12+C7</f>
        <v>123321.5216739063</v>
      </c>
      <c r="D14" s="81" t="s">
        <v>16</v>
      </c>
      <c r="E14" s="9"/>
      <c r="F14" s="30" t="s">
        <v>41</v>
      </c>
      <c r="G14" s="53">
        <f>((G13*'Hull dimensions'!N11)-('Hull dimensions'!N12*G16))/'Hull dimensions'!B3</f>
        <v>57.204074986600858</v>
      </c>
      <c r="H14" s="53">
        <f>((H13*'Hull dimensions'!O11)-('Hull dimensions'!O12*H16))/'Hull dimensions'!B3</f>
        <v>79.704750876427553</v>
      </c>
      <c r="I14" s="31" t="s">
        <v>3</v>
      </c>
    </row>
    <row r="15" spans="1:9" x14ac:dyDescent="0.25">
      <c r="C15" s="6"/>
      <c r="F15" s="30" t="s">
        <v>44</v>
      </c>
      <c r="G15" s="53">
        <f>G14-'Hull dimensions'!N3-'Hull dimensions'!N4</f>
        <v>14.877928295603649</v>
      </c>
      <c r="H15" s="53">
        <f>H14-'Hull dimensions'!O3-'Hull dimensions'!O4</f>
        <v>13.704750876427553</v>
      </c>
      <c r="I15" s="31" t="s">
        <v>3</v>
      </c>
    </row>
    <row r="16" spans="1:9" ht="15.75" thickBot="1" x14ac:dyDescent="0.3">
      <c r="F16" s="32" t="s">
        <v>43</v>
      </c>
      <c r="G16" s="130">
        <f>((B7*(B5/2)*2.35)+(B12*((B10/2)+B5))+(4*B9*B9*'Hull dimensions'!N3*(('Hull dimensions'!N3/2)+B5+B10)))/((B7*2.35)+B12+(4*B9*B9*'Hull dimensions'!N3))</f>
        <v>10.219664969482983</v>
      </c>
      <c r="H16" s="130">
        <f>((C7*(C5/2)*2.35)+(C12*((C10/2)+C5))+(4*C9*C9*'Hull dimensions'!O3*(('Hull dimensions'!O3/2)+C5+C10)))/((C7*2.35)+C12+(4*C9*C9*'Hull dimensions'!O3))</f>
        <v>17.516785413112594</v>
      </c>
      <c r="I16" s="33" t="s">
        <v>3</v>
      </c>
    </row>
    <row r="17" spans="1:13" x14ac:dyDescent="0.25">
      <c r="A17" s="9"/>
      <c r="B17" s="13"/>
      <c r="C17" s="6"/>
      <c r="D17" s="9"/>
      <c r="E17" s="9"/>
      <c r="F17" s="3"/>
      <c r="G17" s="9"/>
    </row>
    <row r="18" spans="1:13" x14ac:dyDescent="0.25">
      <c r="F18" s="47"/>
      <c r="G18" s="48"/>
    </row>
    <row r="19" spans="1:13" x14ac:dyDescent="0.25">
      <c r="A19" s="9"/>
      <c r="B19" s="16"/>
      <c r="C19" s="6"/>
      <c r="D19" s="9"/>
      <c r="E19" s="9"/>
      <c r="F19" s="49"/>
      <c r="G19" s="49"/>
    </row>
    <row r="20" spans="1:13" x14ac:dyDescent="0.25">
      <c r="A20" s="9"/>
      <c r="B20" s="16"/>
      <c r="C20" s="37"/>
      <c r="D20" s="9"/>
      <c r="E20" s="9"/>
      <c r="F20" s="14"/>
      <c r="G20" s="6"/>
    </row>
    <row r="21" spans="1:13" x14ac:dyDescent="0.25">
      <c r="A21" s="9"/>
      <c r="B21" s="13"/>
      <c r="C21" s="6"/>
      <c r="D21" s="9"/>
      <c r="E21" s="9"/>
      <c r="F21" s="14"/>
      <c r="G21" s="6"/>
      <c r="K21" s="14"/>
      <c r="L21" s="14"/>
    </row>
    <row r="22" spans="1:13" x14ac:dyDescent="0.25">
      <c r="A22" s="9"/>
      <c r="B22" s="13"/>
      <c r="C22" s="6"/>
      <c r="D22" s="6"/>
      <c r="F22" s="6"/>
      <c r="G22" s="6"/>
      <c r="M22" s="14"/>
    </row>
    <row r="23" spans="1:13" x14ac:dyDescent="0.25">
      <c r="A23" s="9"/>
      <c r="B23" s="13"/>
      <c r="H23" s="14"/>
    </row>
    <row r="24" spans="1:13" x14ac:dyDescent="0.25">
      <c r="K24" s="14"/>
      <c r="L24" s="14"/>
    </row>
    <row r="25" spans="1:13" x14ac:dyDescent="0.25">
      <c r="H25" s="15"/>
    </row>
    <row r="26" spans="1:13" x14ac:dyDescent="0.25">
      <c r="J26" s="14"/>
    </row>
  </sheetData>
  <mergeCells count="3">
    <mergeCell ref="F3:I3"/>
    <mergeCell ref="F8:I8"/>
    <mergeCell ref="F12:I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F17" sqref="F17"/>
    </sheetView>
  </sheetViews>
  <sheetFormatPr baseColWidth="10" defaultRowHeight="15" x14ac:dyDescent="0.25"/>
  <cols>
    <col min="1" max="1" width="14.5703125" bestFit="1" customWidth="1"/>
    <col min="2" max="2" width="13.140625" bestFit="1" customWidth="1"/>
    <col min="4" max="4" width="14.7109375" bestFit="1" customWidth="1"/>
    <col min="7" max="7" width="16.140625" bestFit="1" customWidth="1"/>
    <col min="11" max="11" width="10.140625" customWidth="1"/>
    <col min="12" max="12" width="14.7109375" bestFit="1" customWidth="1"/>
    <col min="13" max="13" width="16.7109375" bestFit="1" customWidth="1"/>
  </cols>
  <sheetData>
    <row r="1" spans="1:13" x14ac:dyDescent="0.25">
      <c r="A1" t="s">
        <v>0</v>
      </c>
      <c r="B1" t="s">
        <v>15</v>
      </c>
      <c r="C1" t="s">
        <v>66</v>
      </c>
      <c r="D1" t="s">
        <v>71</v>
      </c>
      <c r="E1" t="s">
        <v>6</v>
      </c>
      <c r="H1" t="s">
        <v>65</v>
      </c>
      <c r="I1" t="s">
        <v>69</v>
      </c>
      <c r="J1" t="s">
        <v>66</v>
      </c>
      <c r="K1" t="s">
        <v>73</v>
      </c>
      <c r="L1" t="s">
        <v>6</v>
      </c>
      <c r="M1" t="s">
        <v>71</v>
      </c>
    </row>
    <row r="2" spans="1:13" x14ac:dyDescent="0.25">
      <c r="A2" s="1">
        <v>20000</v>
      </c>
      <c r="B2" s="1">
        <v>51348</v>
      </c>
      <c r="C2">
        <v>16</v>
      </c>
      <c r="D2">
        <v>85</v>
      </c>
      <c r="E2">
        <v>22</v>
      </c>
      <c r="G2" s="6" t="s">
        <v>59</v>
      </c>
      <c r="H2" s="1">
        <v>20000</v>
      </c>
      <c r="I2" s="1">
        <v>54600</v>
      </c>
      <c r="J2" s="6">
        <v>17.8</v>
      </c>
      <c r="K2" s="36">
        <f>(H2*1000)/(I2*1025)</f>
        <v>0.35736621102474764</v>
      </c>
      <c r="L2">
        <v>21</v>
      </c>
      <c r="M2" s="14">
        <v>88.3</v>
      </c>
    </row>
    <row r="3" spans="1:13" x14ac:dyDescent="0.25">
      <c r="A3" s="1">
        <v>30000</v>
      </c>
      <c r="B3" s="1">
        <v>72201</v>
      </c>
      <c r="C3">
        <v>18.3</v>
      </c>
      <c r="D3">
        <v>91.4</v>
      </c>
      <c r="E3">
        <v>22.7</v>
      </c>
      <c r="G3" s="6" t="s">
        <v>60</v>
      </c>
      <c r="H3" s="1">
        <v>22000</v>
      </c>
      <c r="I3" s="1">
        <v>57500</v>
      </c>
      <c r="J3" s="6">
        <v>17.8</v>
      </c>
      <c r="K3" s="36">
        <f t="shared" ref="K3:K10" si="0">(H3*1000)/(I3*1025)</f>
        <v>0.37327677624602335</v>
      </c>
      <c r="L3">
        <v>21</v>
      </c>
      <c r="M3" s="14">
        <v>85.3</v>
      </c>
    </row>
    <row r="4" spans="1:13" x14ac:dyDescent="0.25">
      <c r="A4" s="1">
        <v>40000</v>
      </c>
      <c r="B4" s="1">
        <v>90597</v>
      </c>
      <c r="C4">
        <v>20.6</v>
      </c>
      <c r="D4">
        <v>97.7</v>
      </c>
      <c r="E4">
        <v>23.3</v>
      </c>
      <c r="G4" s="6" t="s">
        <v>61</v>
      </c>
      <c r="H4" s="1">
        <v>25000</v>
      </c>
      <c r="I4" s="1">
        <v>52600</v>
      </c>
      <c r="J4" s="35">
        <v>16.8</v>
      </c>
      <c r="K4" s="36">
        <f t="shared" si="0"/>
        <v>0.4636928498562552</v>
      </c>
      <c r="L4">
        <v>21</v>
      </c>
      <c r="M4" s="14">
        <v>84.5</v>
      </c>
    </row>
    <row r="5" spans="1:13" x14ac:dyDescent="0.25">
      <c r="A5" s="1">
        <v>50000</v>
      </c>
      <c r="B5" s="1">
        <v>106946</v>
      </c>
      <c r="C5">
        <v>22.8</v>
      </c>
      <c r="D5">
        <v>102.3</v>
      </c>
      <c r="E5">
        <v>24</v>
      </c>
      <c r="G5" s="6" t="s">
        <v>62</v>
      </c>
      <c r="H5" s="1">
        <v>28000</v>
      </c>
      <c r="I5" s="1">
        <v>54600</v>
      </c>
      <c r="J5" s="6">
        <v>17.5</v>
      </c>
      <c r="K5" s="36">
        <f t="shared" si="0"/>
        <v>0.50031269543464663</v>
      </c>
      <c r="L5">
        <v>21</v>
      </c>
      <c r="M5" s="14">
        <v>85</v>
      </c>
    </row>
    <row r="6" spans="1:13" x14ac:dyDescent="0.25">
      <c r="A6" s="1">
        <v>60000</v>
      </c>
      <c r="B6" s="1">
        <v>121572</v>
      </c>
      <c r="C6">
        <v>23.6</v>
      </c>
      <c r="D6">
        <v>109.7</v>
      </c>
      <c r="E6">
        <v>24.6</v>
      </c>
      <c r="G6" s="6" t="s">
        <v>63</v>
      </c>
      <c r="H6" s="1">
        <v>32000</v>
      </c>
      <c r="I6" s="1">
        <v>78000</v>
      </c>
      <c r="J6" s="6">
        <v>17.8</v>
      </c>
      <c r="K6" s="36">
        <f t="shared" si="0"/>
        <v>0.40025015634771732</v>
      </c>
      <c r="L6">
        <v>27</v>
      </c>
      <c r="M6" s="14" t="s">
        <v>114</v>
      </c>
    </row>
    <row r="7" spans="1:13" x14ac:dyDescent="0.25">
      <c r="A7" s="1">
        <v>70000</v>
      </c>
      <c r="B7" s="1">
        <v>134734</v>
      </c>
      <c r="C7">
        <v>24.3</v>
      </c>
      <c r="D7">
        <v>115.2</v>
      </c>
      <c r="E7">
        <v>25.3</v>
      </c>
      <c r="G7" s="6" t="s">
        <v>64</v>
      </c>
      <c r="H7" s="1">
        <v>42000</v>
      </c>
      <c r="I7" s="1">
        <v>82000</v>
      </c>
      <c r="J7" s="6">
        <v>0</v>
      </c>
      <c r="K7" s="36">
        <f t="shared" si="0"/>
        <v>0.49970255800118979</v>
      </c>
      <c r="L7">
        <v>25</v>
      </c>
      <c r="M7" s="14">
        <v>102.4</v>
      </c>
    </row>
    <row r="8" spans="1:13" x14ac:dyDescent="0.25">
      <c r="A8" s="1">
        <v>80000</v>
      </c>
      <c r="B8" s="1">
        <v>146641</v>
      </c>
      <c r="C8">
        <v>24.9</v>
      </c>
      <c r="D8">
        <v>118.9</v>
      </c>
      <c r="E8">
        <v>26</v>
      </c>
      <c r="G8" t="s">
        <v>68</v>
      </c>
      <c r="H8" s="1">
        <v>35500</v>
      </c>
      <c r="I8" s="1">
        <v>86600</v>
      </c>
      <c r="J8">
        <v>20.5</v>
      </c>
      <c r="K8" s="36">
        <f t="shared" si="0"/>
        <v>0.3999324057905706</v>
      </c>
      <c r="L8">
        <v>26</v>
      </c>
      <c r="M8" s="14">
        <v>89.6</v>
      </c>
    </row>
    <row r="9" spans="1:13" x14ac:dyDescent="0.25">
      <c r="G9" t="s">
        <v>70</v>
      </c>
      <c r="H9" s="1">
        <v>50661</v>
      </c>
      <c r="I9" s="1">
        <v>107962</v>
      </c>
      <c r="J9">
        <v>23</v>
      </c>
      <c r="K9" s="36">
        <f t="shared" si="0"/>
        <v>0.45780335538113909</v>
      </c>
      <c r="L9">
        <v>24</v>
      </c>
      <c r="M9" s="14">
        <v>102.5</v>
      </c>
    </row>
    <row r="10" spans="1:13" x14ac:dyDescent="0.25">
      <c r="G10" s="6" t="s">
        <v>67</v>
      </c>
      <c r="H10" s="1">
        <v>57100</v>
      </c>
      <c r="I10" s="1">
        <v>126800</v>
      </c>
      <c r="J10" s="6">
        <v>23.2</v>
      </c>
      <c r="K10" s="36">
        <f t="shared" si="0"/>
        <v>0.43933215357390165</v>
      </c>
      <c r="L10">
        <v>30</v>
      </c>
      <c r="M10" s="14">
        <v>110</v>
      </c>
    </row>
    <row r="11" spans="1:13" x14ac:dyDescent="0.25">
      <c r="G11" t="s">
        <v>72</v>
      </c>
      <c r="H11" s="1">
        <v>67800</v>
      </c>
      <c r="I11" s="1">
        <v>136600</v>
      </c>
      <c r="J11" t="s">
        <v>114</v>
      </c>
      <c r="K11" t="s">
        <v>114</v>
      </c>
      <c r="L11" t="s">
        <v>114</v>
      </c>
      <c r="M11" s="14">
        <v>110</v>
      </c>
    </row>
    <row r="12" spans="1:13" x14ac:dyDescent="0.25">
      <c r="H12" s="1"/>
      <c r="I12" s="1"/>
      <c r="M12" s="14"/>
    </row>
    <row r="13" spans="1:13" x14ac:dyDescent="0.25">
      <c r="G13" s="131" t="s">
        <v>113</v>
      </c>
      <c r="H13" s="132">
        <f>'Hull dimensions'!B3/1000</f>
        <v>25000</v>
      </c>
      <c r="I13" s="132">
        <f>'Hull dimensions'!N10</f>
        <v>62111.140173201959</v>
      </c>
      <c r="J13" s="133">
        <f>'Hull dimensions'!N5</f>
        <v>17.141513418490234</v>
      </c>
      <c r="K13" s="131"/>
      <c r="L13" s="131"/>
      <c r="M13" s="133">
        <f>'Hull dimensions'!N7+'Hull dimensions'!N8</f>
        <v>89.477185209280492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Hull dimensions</vt:lpstr>
      <vt:lpstr>Functions</vt:lpstr>
      <vt:lpstr>Air gap data</vt:lpstr>
      <vt:lpstr>Stability</vt:lpstr>
      <vt:lpstr>Charts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Aron</dc:creator>
  <cp:lastModifiedBy>Aron</cp:lastModifiedBy>
  <dcterms:created xsi:type="dcterms:W3CDTF">2015-04-27T15:42:37Z</dcterms:created>
  <dcterms:modified xsi:type="dcterms:W3CDTF">2015-06-14T10:41:29Z</dcterms:modified>
</cp:coreProperties>
</file>