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a_m\Skole\Moen\UiS\Master - Industriell Økonomi\10. semester - Masteroppgave\Vedlegg\"/>
    </mc:Choice>
  </mc:AlternateContent>
  <bookViews>
    <workbookView xWindow="0" yWindow="0" windowWidth="11088" windowHeight="9000"/>
  </bookViews>
  <sheets>
    <sheet name="MV Amalie" sheetId="1" r:id="rId1"/>
    <sheet name="MV Susanne Theresa" sheetId="2" r:id="rId2"/>
    <sheet name="MV Lelie" sheetId="3" r:id="rId3"/>
    <sheet name="Samle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4" i="3" l="1"/>
  <c r="C29" i="3" l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J31" i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E31" i="1"/>
  <c r="F31" i="1" s="1"/>
  <c r="G31" i="1" s="1"/>
  <c r="H31" i="1" s="1"/>
  <c r="I31" i="1" s="1"/>
  <c r="C31" i="1"/>
  <c r="D31" i="1" s="1"/>
  <c r="B191" i="1" l="1"/>
  <c r="B190" i="1"/>
  <c r="I183" i="1"/>
  <c r="H183" i="1"/>
  <c r="G183" i="1"/>
  <c r="F183" i="1"/>
  <c r="E183" i="1"/>
  <c r="B189" i="1" s="1"/>
  <c r="D183" i="1"/>
  <c r="C183" i="1"/>
  <c r="B183" i="1"/>
  <c r="I182" i="1"/>
  <c r="H182" i="1"/>
  <c r="G182" i="1"/>
  <c r="F182" i="1"/>
  <c r="E182" i="1"/>
  <c r="B188" i="1" s="1"/>
  <c r="D182" i="1"/>
  <c r="C182" i="1"/>
  <c r="B182" i="1"/>
  <c r="B172" i="1"/>
  <c r="B171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B170" i="1" s="1"/>
  <c r="B186" i="1" l="1"/>
  <c r="B187" i="1"/>
  <c r="B169" i="1"/>
  <c r="B167" i="1"/>
  <c r="B168" i="1"/>
  <c r="B146" i="2" l="1"/>
  <c r="B152" i="1"/>
  <c r="C67" i="4"/>
  <c r="D67" i="4"/>
  <c r="E67" i="4"/>
  <c r="F67" i="4"/>
  <c r="G67" i="4"/>
  <c r="H67" i="4"/>
  <c r="I67" i="4"/>
  <c r="B67" i="4"/>
  <c r="B155" i="3"/>
  <c r="T40" i="3"/>
  <c r="B156" i="3" l="1"/>
  <c r="B68" i="4"/>
  <c r="B140" i="1" l="1"/>
  <c r="B134" i="2" l="1"/>
  <c r="B123" i="3"/>
  <c r="B125" i="3"/>
  <c r="B126" i="3" s="1"/>
  <c r="F123" i="3"/>
  <c r="F124" i="3" s="1"/>
  <c r="F125" i="3" s="1"/>
  <c r="F126" i="3" s="1"/>
  <c r="B136" i="2"/>
  <c r="B137" i="2" s="1"/>
  <c r="F133" i="2"/>
  <c r="F134" i="2" s="1"/>
  <c r="F135" i="2" s="1"/>
  <c r="F136" i="2" s="1"/>
  <c r="F140" i="1"/>
  <c r="F141" i="1" s="1"/>
  <c r="F142" i="1" s="1"/>
  <c r="F143" i="1" s="1"/>
  <c r="B142" i="1" l="1"/>
  <c r="B143" i="1" s="1"/>
  <c r="C56" i="4" l="1"/>
  <c r="D56" i="4"/>
  <c r="E56" i="4"/>
  <c r="F56" i="4"/>
  <c r="G56" i="4"/>
  <c r="H56" i="4"/>
  <c r="C57" i="4"/>
  <c r="D57" i="4"/>
  <c r="E57" i="4"/>
  <c r="F57" i="4"/>
  <c r="G57" i="4"/>
  <c r="H57" i="4"/>
  <c r="C58" i="4"/>
  <c r="D58" i="4"/>
  <c r="E58" i="4"/>
  <c r="F58" i="4"/>
  <c r="G58" i="4"/>
  <c r="H58" i="4"/>
  <c r="B57" i="4"/>
  <c r="B58" i="4"/>
  <c r="B56" i="4"/>
  <c r="B38" i="4"/>
  <c r="B39" i="4"/>
  <c r="B37" i="4"/>
  <c r="B36" i="4"/>
  <c r="S33" i="4"/>
  <c r="S34" i="4" s="1"/>
  <c r="R34" i="4"/>
  <c r="R33" i="4"/>
  <c r="N33" i="4"/>
  <c r="N34" i="4"/>
  <c r="N32" i="4"/>
  <c r="M34" i="4"/>
  <c r="J32" i="4"/>
  <c r="I32" i="4"/>
  <c r="H34" i="4"/>
  <c r="G33" i="4"/>
  <c r="E13" i="4"/>
  <c r="E12" i="4"/>
  <c r="E11" i="4"/>
  <c r="B8" i="4"/>
  <c r="H59" i="4" l="1"/>
  <c r="H61" i="4" s="1"/>
  <c r="G59" i="4"/>
  <c r="G60" i="4" s="1"/>
  <c r="F59" i="4"/>
  <c r="F60" i="4" s="1"/>
  <c r="G61" i="4"/>
  <c r="H62" i="4"/>
  <c r="G62" i="4"/>
  <c r="D59" i="4"/>
  <c r="D61" i="4" s="1"/>
  <c r="E59" i="4"/>
  <c r="E61" i="4" s="1"/>
  <c r="C59" i="4"/>
  <c r="C62" i="4" s="1"/>
  <c r="H60" i="4"/>
  <c r="B59" i="4"/>
  <c r="B60" i="4" s="1"/>
  <c r="S98" i="3"/>
  <c r="B99" i="3"/>
  <c r="B9" i="4" s="1"/>
  <c r="B13" i="4" s="1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B98" i="3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B109" i="2"/>
  <c r="B111" i="2"/>
  <c r="B145" i="2" s="1"/>
  <c r="B147" i="2" s="1"/>
  <c r="B112" i="2"/>
  <c r="B110" i="2"/>
  <c r="B116" i="1"/>
  <c r="B151" i="1" s="1"/>
  <c r="B153" i="1" s="1"/>
  <c r="B117" i="1"/>
  <c r="B115" i="1"/>
  <c r="B62" i="4" l="1"/>
  <c r="C61" i="4"/>
  <c r="C60" i="4"/>
  <c r="F62" i="4"/>
  <c r="F61" i="4"/>
  <c r="E62" i="4"/>
  <c r="D60" i="4"/>
  <c r="B61" i="4"/>
  <c r="D62" i="4"/>
  <c r="E60" i="4"/>
  <c r="B7" i="4"/>
  <c r="B12" i="4" s="1"/>
  <c r="B113" i="2"/>
  <c r="B100" i="3"/>
  <c r="C48" i="2" l="1"/>
  <c r="D48" i="2"/>
  <c r="H48" i="2"/>
  <c r="Q48" i="2"/>
  <c r="R48" i="2"/>
  <c r="U48" i="2"/>
  <c r="V48" i="2"/>
  <c r="B48" i="2"/>
  <c r="I45" i="2"/>
  <c r="J45" i="2"/>
  <c r="K45" i="2"/>
  <c r="L45" i="2"/>
  <c r="R45" i="2"/>
  <c r="T45" i="2"/>
  <c r="V45" i="2"/>
  <c r="W47" i="2"/>
  <c r="W48" i="2" s="1"/>
  <c r="S47" i="2"/>
  <c r="S48" i="2" s="1"/>
  <c r="P47" i="2"/>
  <c r="P48" i="2" s="1"/>
  <c r="P44" i="2"/>
  <c r="P45" i="2" s="1"/>
  <c r="O47" i="2"/>
  <c r="O48" i="2" s="1"/>
  <c r="N44" i="2"/>
  <c r="N45" i="2" s="1"/>
  <c r="M47" i="2"/>
  <c r="M48" i="2" s="1"/>
  <c r="I47" i="2"/>
  <c r="I48" i="2" s="1"/>
  <c r="G47" i="2"/>
  <c r="G48" i="2" s="1"/>
  <c r="E44" i="2"/>
  <c r="E45" i="2" s="1"/>
  <c r="B44" i="2"/>
  <c r="B45" i="2" s="1"/>
  <c r="B71" i="2" l="1"/>
  <c r="F49" i="2"/>
  <c r="N49" i="2"/>
  <c r="V49" i="2"/>
  <c r="O49" i="2"/>
  <c r="W49" i="2"/>
  <c r="P49" i="2"/>
  <c r="X49" i="2"/>
  <c r="Q49" i="2"/>
  <c r="Y49" i="2"/>
  <c r="K49" i="2"/>
  <c r="C49" i="2"/>
  <c r="G49" i="2"/>
  <c r="D49" i="2"/>
  <c r="L49" i="2"/>
  <c r="M49" i="2"/>
  <c r="H49" i="2"/>
  <c r="R49" i="2"/>
  <c r="S49" i="2"/>
  <c r="T49" i="2"/>
  <c r="U49" i="2"/>
  <c r="I49" i="2"/>
  <c r="E49" i="2"/>
  <c r="J49" i="2"/>
  <c r="Q49" i="1" l="1"/>
  <c r="Q50" i="1" s="1"/>
  <c r="N49" i="1"/>
  <c r="N50" i="1" s="1"/>
  <c r="L46" i="1"/>
  <c r="L47" i="1" s="1"/>
  <c r="G49" i="1"/>
  <c r="G50" i="1" s="1"/>
  <c r="E49" i="1"/>
  <c r="E50" i="1" s="1"/>
  <c r="C46" i="1"/>
  <c r="C47" i="1" s="1"/>
  <c r="B52" i="1"/>
  <c r="C50" i="1"/>
  <c r="H50" i="1"/>
  <c r="J50" i="1"/>
  <c r="P50" i="1"/>
  <c r="V50" i="1"/>
  <c r="AA50" i="1"/>
  <c r="AB50" i="1"/>
  <c r="AE50" i="1"/>
  <c r="AF50" i="1"/>
  <c r="AL50" i="1"/>
  <c r="AN50" i="1"/>
  <c r="D47" i="1"/>
  <c r="F47" i="1"/>
  <c r="G47" i="1"/>
  <c r="I47" i="1"/>
  <c r="M47" i="1"/>
  <c r="N47" i="1"/>
  <c r="O47" i="1"/>
  <c r="T47" i="1"/>
  <c r="U47" i="1"/>
  <c r="W47" i="1"/>
  <c r="X47" i="1"/>
  <c r="AG47" i="1"/>
  <c r="AI47" i="1"/>
  <c r="AK47" i="1"/>
  <c r="B47" i="1"/>
  <c r="AN46" i="1"/>
  <c r="AN47" i="1" s="1"/>
  <c r="AL44" i="1"/>
  <c r="AJ44" i="1"/>
  <c r="AJ42" i="1"/>
  <c r="AH49" i="1"/>
  <c r="AH50" i="1" s="1"/>
  <c r="AE46" i="1"/>
  <c r="AE47" i="1" s="1"/>
  <c r="AE44" i="1"/>
  <c r="AD44" i="1"/>
  <c r="AD42" i="1"/>
  <c r="AC42" i="1"/>
  <c r="Z44" i="1"/>
  <c r="Y42" i="1"/>
  <c r="S44" i="1"/>
  <c r="R42" i="1"/>
  <c r="Q44" i="1"/>
  <c r="O42" i="1"/>
  <c r="L42" i="1"/>
  <c r="I42" i="1"/>
  <c r="D44" i="1"/>
  <c r="C44" i="1"/>
  <c r="M49" i="1"/>
  <c r="M50" i="1" s="1"/>
  <c r="B83" i="1"/>
  <c r="B120" i="1" s="1"/>
  <c r="B121" i="1" l="1"/>
  <c r="B75" i="1"/>
  <c r="W51" i="1"/>
  <c r="X51" i="1"/>
  <c r="AD51" i="1"/>
  <c r="AE51" i="1"/>
  <c r="AF51" i="1"/>
  <c r="AL51" i="1"/>
  <c r="AN51" i="1"/>
  <c r="AM51" i="1"/>
  <c r="O51" i="1"/>
  <c r="G51" i="1"/>
  <c r="V51" i="1"/>
  <c r="N51" i="1"/>
  <c r="F51" i="1"/>
  <c r="AK51" i="1"/>
  <c r="AC51" i="1"/>
  <c r="U51" i="1"/>
  <c r="M51" i="1"/>
  <c r="AJ51" i="1"/>
  <c r="L51" i="1"/>
  <c r="AI51" i="1"/>
  <c r="AA51" i="1"/>
  <c r="S51" i="1"/>
  <c r="K51" i="1"/>
  <c r="AB51" i="1"/>
  <c r="D51" i="1"/>
  <c r="AH51" i="1"/>
  <c r="Z51" i="1"/>
  <c r="R51" i="1"/>
  <c r="J51" i="1"/>
  <c r="T51" i="1"/>
  <c r="E51" i="1"/>
  <c r="AG51" i="1"/>
  <c r="Y51" i="1"/>
  <c r="Q51" i="1"/>
  <c r="I51" i="1"/>
  <c r="P51" i="1"/>
  <c r="H51" i="1"/>
  <c r="C51" i="1"/>
  <c r="D114" i="1" l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S114" i="1"/>
  <c r="T114" i="1"/>
  <c r="U114" i="1"/>
  <c r="V114" i="1"/>
  <c r="W114" i="1"/>
  <c r="X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C114" i="1"/>
  <c r="B114" i="1"/>
  <c r="Z113" i="1"/>
  <c r="Z114" i="1" s="1"/>
  <c r="Y113" i="1"/>
  <c r="B85" i="1"/>
  <c r="B70" i="3"/>
  <c r="B79" i="2"/>
  <c r="B32" i="1"/>
  <c r="B53" i="1"/>
  <c r="B62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B30" i="3"/>
  <c r="B31" i="3"/>
  <c r="B33" i="1"/>
  <c r="B34" i="2"/>
  <c r="B35" i="2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7" i="3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B7" i="2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B7" i="1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D6" i="2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B95" i="1" l="1"/>
  <c r="B144" i="1"/>
  <c r="B145" i="1" s="1"/>
  <c r="B146" i="1" s="1"/>
  <c r="B116" i="2"/>
  <c r="B114" i="2"/>
  <c r="B115" i="2"/>
  <c r="B72" i="3"/>
  <c r="B101" i="3"/>
  <c r="B102" i="3"/>
  <c r="B81" i="2"/>
  <c r="Y114" i="1"/>
  <c r="B119" i="1" s="1"/>
  <c r="B123" i="1" s="1"/>
  <c r="B118" i="1"/>
  <c r="B76" i="1"/>
  <c r="B43" i="3"/>
  <c r="B63" i="3" s="1"/>
  <c r="B32" i="3"/>
  <c r="B45" i="3"/>
  <c r="B81" i="3"/>
  <c r="B51" i="2"/>
  <c r="B72" i="2" s="1"/>
  <c r="B36" i="2"/>
  <c r="B53" i="2"/>
  <c r="B90" i="2"/>
  <c r="B34" i="1"/>
  <c r="B55" i="1"/>
  <c r="B56" i="1" s="1"/>
  <c r="B57" i="1" s="1"/>
  <c r="B88" i="1"/>
  <c r="B89" i="1" s="1"/>
  <c r="B94" i="1"/>
  <c r="B46" i="3" l="1"/>
  <c r="B47" i="3" s="1"/>
  <c r="T39" i="3" s="1"/>
  <c r="D135" i="3"/>
  <c r="E135" i="3"/>
  <c r="F135" i="3"/>
  <c r="G135" i="3"/>
  <c r="I135" i="3"/>
  <c r="H135" i="3"/>
  <c r="B135" i="3"/>
  <c r="C135" i="3"/>
  <c r="B84" i="2"/>
  <c r="B85" i="2" s="1"/>
  <c r="B138" i="2"/>
  <c r="B139" i="2" s="1"/>
  <c r="B140" i="2" s="1"/>
  <c r="B82" i="3"/>
  <c r="B127" i="3"/>
  <c r="B128" i="3" s="1"/>
  <c r="B129" i="3" s="1"/>
  <c r="B122" i="1"/>
  <c r="B5" i="4"/>
  <c r="B11" i="4" s="1"/>
  <c r="B75" i="3"/>
  <c r="B76" i="3" s="1"/>
  <c r="B91" i="2"/>
  <c r="B54" i="2"/>
  <c r="B55" i="2" s="1"/>
  <c r="B136" i="3" l="1"/>
</calcChain>
</file>

<file path=xl/sharedStrings.xml><?xml version="1.0" encoding="utf-8"?>
<sst xmlns="http://schemas.openxmlformats.org/spreadsheetml/2006/main" count="1017" uniqueCount="219">
  <si>
    <t>Dusavik</t>
  </si>
  <si>
    <t>Tananger A</t>
  </si>
  <si>
    <t>Tananger N</t>
  </si>
  <si>
    <t>Knarrevik</t>
  </si>
  <si>
    <t>Mongstad</t>
  </si>
  <si>
    <t>Florø</t>
  </si>
  <si>
    <t>Storøy</t>
  </si>
  <si>
    <t>Kristiansund</t>
  </si>
  <si>
    <t>Eide</t>
  </si>
  <si>
    <t>CCB</t>
  </si>
  <si>
    <t>Kristiansund H</t>
  </si>
  <si>
    <t>Sløvåg</t>
  </si>
  <si>
    <t>Skålevik</t>
  </si>
  <si>
    <t>Esbjerg</t>
  </si>
  <si>
    <t>Emden</t>
  </si>
  <si>
    <t>Harwich</t>
  </si>
  <si>
    <t>Gulen</t>
  </si>
  <si>
    <t>Antwerpen</t>
  </si>
  <si>
    <t>Porsgrunn</t>
  </si>
  <si>
    <t>Ijmuiden</t>
  </si>
  <si>
    <t>Bremen</t>
  </si>
  <si>
    <t>Haugesund</t>
  </si>
  <si>
    <t>Sandnessjøen</t>
  </si>
  <si>
    <t>Tananger</t>
  </si>
  <si>
    <t>Antwerp</t>
  </si>
  <si>
    <t>Posisjon</t>
  </si>
  <si>
    <t>Tid i måneden</t>
  </si>
  <si>
    <t>Breddegrad</t>
  </si>
  <si>
    <t>Tid i perioden</t>
  </si>
  <si>
    <t>To måneder:</t>
  </si>
  <si>
    <t>En måned:</t>
  </si>
  <si>
    <t>Ågotnes</t>
  </si>
  <si>
    <t>Figur 5.4</t>
  </si>
  <si>
    <t>Figur 5.2</t>
  </si>
  <si>
    <t>Figur 5.6</t>
  </si>
  <si>
    <t>Tabell 5.1</t>
  </si>
  <si>
    <t>Rute</t>
  </si>
  <si>
    <t>Distanse fra forrige havn</t>
  </si>
  <si>
    <t>Husøya</t>
  </si>
  <si>
    <t>Antall seilaser</t>
  </si>
  <si>
    <t>Figur 5.7</t>
  </si>
  <si>
    <t>Tonnmil produsert</t>
  </si>
  <si>
    <t>m3 lastet</t>
  </si>
  <si>
    <t>m3 losset</t>
  </si>
  <si>
    <t>Total tonnmil produsert</t>
  </si>
  <si>
    <t>Teoretisk tonnmil</t>
  </si>
  <si>
    <t>Tonnmil produsert per seilas</t>
  </si>
  <si>
    <t>Utnyttelsesgrad</t>
  </si>
  <si>
    <t>Kapasitet fartøy</t>
  </si>
  <si>
    <t>MT fra loggstart</t>
  </si>
  <si>
    <t>MT losset</t>
  </si>
  <si>
    <t>MT lastet</t>
  </si>
  <si>
    <t>Tabell 5.2</t>
  </si>
  <si>
    <t>Gjennomsnitt tonnasje på fartøy</t>
  </si>
  <si>
    <t>Total tonnasje transportert</t>
  </si>
  <si>
    <t>Tabell 5.3</t>
  </si>
  <si>
    <t>Maksfart</t>
  </si>
  <si>
    <t>Tid ved kai</t>
  </si>
  <si>
    <t>Total tid ved kai</t>
  </si>
  <si>
    <t>Tid på sjø</t>
  </si>
  <si>
    <t>Tid i periode målt</t>
  </si>
  <si>
    <t>Faktisk målt fart</t>
  </si>
  <si>
    <t>Økonomifart</t>
  </si>
  <si>
    <t>Fra økonomifart</t>
  </si>
  <si>
    <t>Figur 5.8</t>
  </si>
  <si>
    <t>Figur 5.9</t>
  </si>
  <si>
    <t>Tankvask</t>
  </si>
  <si>
    <t>Annet</t>
  </si>
  <si>
    <t>Tid brukt til lasting bulk</t>
  </si>
  <si>
    <t>Tid brukt til lossing bulk</t>
  </si>
  <si>
    <t>Tid brukt til tankvask</t>
  </si>
  <si>
    <t>Tid brukt til dekkslast</t>
  </si>
  <si>
    <t>Tid brukt til annet</t>
  </si>
  <si>
    <t>Total tid brukt til lasting bulk</t>
  </si>
  <si>
    <t>Total tid brukt til tankvask</t>
  </si>
  <si>
    <t>Total tid brukt til dekkslast</t>
  </si>
  <si>
    <t>Total tid brukt til annet</t>
  </si>
  <si>
    <t>Lasting lastebærer</t>
  </si>
  <si>
    <t>Lossing lastebærer</t>
  </si>
  <si>
    <t>Vekt (MT/m3)</t>
  </si>
  <si>
    <t>Vekt mixingtank</t>
  </si>
  <si>
    <t>Vekt tom mud skip</t>
  </si>
  <si>
    <t>Vekt full mud skip</t>
  </si>
  <si>
    <t>Vekt tom CTT</t>
  </si>
  <si>
    <t>Vekt full CTT</t>
  </si>
  <si>
    <t xml:space="preserve"> - Tonnasje (MT)</t>
  </si>
  <si>
    <t>Total tid brukt til lossing bulk</t>
  </si>
  <si>
    <t>Bulkoperasjon</t>
  </si>
  <si>
    <t>Dekkslastoperasjon</t>
  </si>
  <si>
    <t>Tid brukt til bulkoperasjoner</t>
  </si>
  <si>
    <t>Total tid brukt til bulkoperasjoner</t>
  </si>
  <si>
    <t>Planlagt tankvask</t>
  </si>
  <si>
    <t>Tidsperiode</t>
  </si>
  <si>
    <t>Ankomst - 1.11.14, 16:00</t>
  </si>
  <si>
    <t>Avgang - 3.12.14, 02:46</t>
  </si>
  <si>
    <t>Ankomst - 1.11.14, 09:25</t>
  </si>
  <si>
    <t>Ankomst - 1.12.14, 09:36</t>
  </si>
  <si>
    <t>Avgang, 4.4.16, 18:04</t>
  </si>
  <si>
    <t>Ankomst - 4.3.16, 11:55</t>
  </si>
  <si>
    <t>Tabell 5.4</t>
  </si>
  <si>
    <t>Total tid brukt på dekkslast</t>
  </si>
  <si>
    <t>Antall dekkslastoperasjoner</t>
  </si>
  <si>
    <t>Total tid brukt på våtbulk</t>
  </si>
  <si>
    <t>Antall våtbulkoperasjoner</t>
  </si>
  <si>
    <t xml:space="preserve">Total tid brukt på tørrbulk </t>
  </si>
  <si>
    <t>Antall tørrbulkoperasjoner</t>
  </si>
  <si>
    <t>Gj.Snittlig tid Dekkslast</t>
  </si>
  <si>
    <t>Gj.Snittlig tid Våtbulk</t>
  </si>
  <si>
    <t>Gj.Snittlig tid Tørrbulk</t>
  </si>
  <si>
    <t xml:space="preserve"> </t>
  </si>
  <si>
    <t>I timer og minutt</t>
  </si>
  <si>
    <t>Figur 5.10</t>
  </si>
  <si>
    <t>MV Amalie</t>
  </si>
  <si>
    <t>MV Susanne Theresa</t>
  </si>
  <si>
    <t>MV Lelie</t>
  </si>
  <si>
    <t>Totale timer ved kai</t>
  </si>
  <si>
    <t>Timer kjernetid</t>
  </si>
  <si>
    <t>Timer kveldstid</t>
  </si>
  <si>
    <t>Timer nattestid</t>
  </si>
  <si>
    <t>Kjernetid (08-16)</t>
  </si>
  <si>
    <t>Kveldstid (16-23)</t>
  </si>
  <si>
    <t>Nattestid (23-08)</t>
  </si>
  <si>
    <t>Nattestid (timer)</t>
  </si>
  <si>
    <t>Kveldstid (timer)</t>
  </si>
  <si>
    <t>Kjernetid (timer)</t>
  </si>
  <si>
    <t>Antall timer ved kai</t>
  </si>
  <si>
    <t>Tabell 5.6</t>
  </si>
  <si>
    <t>Motoreffekt (kW)</t>
  </si>
  <si>
    <t>Forbruk per kWh (kg)</t>
  </si>
  <si>
    <t>Gjennomsnittlig fart (knopp)</t>
  </si>
  <si>
    <t>Forbruk per time (kg)</t>
  </si>
  <si>
    <t>Kost per time (NOK)</t>
  </si>
  <si>
    <t>Antall timer på sjø i mnd.</t>
  </si>
  <si>
    <t>USD/NOK</t>
  </si>
  <si>
    <t>USD/MT</t>
  </si>
  <si>
    <t>Pris på MGO (NOK/MT)</t>
  </si>
  <si>
    <t>kg/ltr</t>
  </si>
  <si>
    <t>Innkjøpspris</t>
  </si>
  <si>
    <t>MGO</t>
  </si>
  <si>
    <t xml:space="preserve">USD/m3 </t>
  </si>
  <si>
    <t>NOK/ltr, eks. avgifter</t>
  </si>
  <si>
    <t>NOK/ltr, inkl. avgifter</t>
  </si>
  <si>
    <t>NOK/MT inkl. avgifter</t>
  </si>
  <si>
    <t>Forbruk i måneden (MT)</t>
  </si>
  <si>
    <t>Kost i måneden (NOK)</t>
  </si>
  <si>
    <t>Gj. Snitt effektuttak (%)</t>
  </si>
  <si>
    <t>Gj. Snitt benyttet motoreffekt (kW)</t>
  </si>
  <si>
    <t>Tabell 5.5</t>
  </si>
  <si>
    <t>Tonnasje til base</t>
  </si>
  <si>
    <t>Averøy</t>
  </si>
  <si>
    <t>Total tonnasje</t>
  </si>
  <si>
    <t>Figur 5.12</t>
  </si>
  <si>
    <t>Tabell 5.8</t>
  </si>
  <si>
    <t>Tid brukt på lossing</t>
  </si>
  <si>
    <t>Losserate</t>
  </si>
  <si>
    <t>Figur 5.13</t>
  </si>
  <si>
    <t>Tonnasje losset</t>
  </si>
  <si>
    <t>Tabell 5.9</t>
  </si>
  <si>
    <t>Dato:</t>
  </si>
  <si>
    <t>Tid:</t>
  </si>
  <si>
    <t>2t 30 min</t>
  </si>
  <si>
    <t>1t 30min</t>
  </si>
  <si>
    <t>Tid i minutt:</t>
  </si>
  <si>
    <t>Antall:</t>
  </si>
  <si>
    <t>Kostnader pr enhet</t>
  </si>
  <si>
    <t>Tid pr enhet</t>
  </si>
  <si>
    <t>Tid pr enhet (min)</t>
  </si>
  <si>
    <t>1 min 51 sek</t>
  </si>
  <si>
    <t>2 min 57 sek</t>
  </si>
  <si>
    <t>2 min 30 sek</t>
  </si>
  <si>
    <t>2 min 35 sek</t>
  </si>
  <si>
    <t xml:space="preserve">2t </t>
  </si>
  <si>
    <t>1t 10 min</t>
  </si>
  <si>
    <t>2t 25 min</t>
  </si>
  <si>
    <t>2t 15 min</t>
  </si>
  <si>
    <t>3 min 51 sek</t>
  </si>
  <si>
    <t>1 min 56 sek</t>
  </si>
  <si>
    <t>Kostnader for kaioperasjon (Fakturaer= konfidensielle)</t>
  </si>
  <si>
    <t>1t 40 min</t>
  </si>
  <si>
    <t>2t 5 min</t>
  </si>
  <si>
    <t>3t</t>
  </si>
  <si>
    <t>2t 10 min</t>
  </si>
  <si>
    <t>1t 50 min</t>
  </si>
  <si>
    <t>2 min 26 sek</t>
  </si>
  <si>
    <t>2 min 50 sek</t>
  </si>
  <si>
    <t>2 min 13 sek</t>
  </si>
  <si>
    <t>2 min 8 sek</t>
  </si>
  <si>
    <t>Minimum kostnad per skip</t>
  </si>
  <si>
    <t>Minimim tid per skip</t>
  </si>
  <si>
    <t>Maksimum kostnad per skip</t>
  </si>
  <si>
    <t>Maksimum tid per skip</t>
  </si>
  <si>
    <t>Gjennomsnitt kostnad per skip</t>
  </si>
  <si>
    <t>Gjennomsnitt tid per skip</t>
  </si>
  <si>
    <t>Tabell 5.10</t>
  </si>
  <si>
    <t>1 min 39 sek</t>
  </si>
  <si>
    <t>2t 50 min</t>
  </si>
  <si>
    <t>2 min 2 sek</t>
  </si>
  <si>
    <t>1 min 18 sek</t>
  </si>
  <si>
    <t>Tabell 5.11</t>
  </si>
  <si>
    <t>Minimum kostnad per CTT</t>
  </si>
  <si>
    <t>Minimim tid per CTT</t>
  </si>
  <si>
    <t>Maksimum kostnad per CTT</t>
  </si>
  <si>
    <t>Maksimum tid per CTT</t>
  </si>
  <si>
    <t>Gjennomsnitt kostnad per CTT</t>
  </si>
  <si>
    <t>Gjennomsnitt tid per CTT</t>
  </si>
  <si>
    <t>1t 55 min</t>
  </si>
  <si>
    <t>2t</t>
  </si>
  <si>
    <t>1t 45 min</t>
  </si>
  <si>
    <t>1t 15 min</t>
  </si>
  <si>
    <t>3t 30min</t>
  </si>
  <si>
    <t>2t 35 min</t>
  </si>
  <si>
    <t>5 min 16 sek</t>
  </si>
  <si>
    <t>2 min 37 sek</t>
  </si>
  <si>
    <t>Distanse fra forrige kai (NM)</t>
  </si>
  <si>
    <t>Distanse (NM)</t>
  </si>
  <si>
    <t>Total distanse (NM)</t>
  </si>
  <si>
    <t>Gjennomsnittlig distanse per seilas (NM)</t>
  </si>
  <si>
    <t>Antall seilaser (NM)</t>
  </si>
  <si>
    <t>Gjennomsnittlig fart (knop)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</si>
</sst>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1" fillId="0" borderId="0" xfId="0" applyFont="1" applyFill="1" applyBorder="1"/>
    <xf numFmtId="0" fontId="0" fillId="0" borderId="0" xfId="1" applyNumberFormat="1" applyFont="1"/>
    <xf numFmtId="2" fontId="0" fillId="0" borderId="0" xfId="1" applyNumberFormat="1" applyFont="1"/>
    <xf numFmtId="1" fontId="0" fillId="0" borderId="0" xfId="1" applyNumberFormat="1" applyFont="1"/>
    <xf numFmtId="9" fontId="0" fillId="0" borderId="0" xfId="1" applyFont="1"/>
    <xf numFmtId="9" fontId="0" fillId="0" borderId="0" xfId="0" applyNumberFormat="1"/>
    <xf numFmtId="10" fontId="0" fillId="0" borderId="0" xfId="1" applyNumberFormat="1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Border="1"/>
    <xf numFmtId="2" fontId="4" fillId="0" borderId="0" xfId="0" applyNumberFormat="1" applyFont="1"/>
    <xf numFmtId="0" fontId="0" fillId="0" borderId="0" xfId="0" applyFont="1" applyFill="1" applyBorder="1"/>
    <xf numFmtId="0" fontId="3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14" fontId="4" fillId="0" borderId="0" xfId="0" applyNumberFormat="1" applyFont="1" applyFill="1"/>
    <xf numFmtId="14" fontId="0" fillId="0" borderId="0" xfId="0" applyNumberFormat="1"/>
    <xf numFmtId="0" fontId="0" fillId="0" borderId="0" xfId="0" applyFont="1" applyFill="1"/>
    <xf numFmtId="2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colors>
    <mruColors>
      <color rgb="FFFF5757"/>
      <color rgb="FFDAD2F6"/>
      <color rgb="FFCEFAF3"/>
      <color rgb="FFB57CF4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8059964591923554"/>
          <c:h val="0.965018793947174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'MV Amalie'!$B$6:$CA$6</c:f>
              <c:numCache>
                <c:formatCode>0.00</c:formatCode>
                <c:ptCount val="78"/>
                <c:pt idx="0">
                  <c:v>0</c:v>
                </c:pt>
                <c:pt idx="1">
                  <c:v>1</c:v>
                </c:pt>
                <c:pt idx="2">
                  <c:v>3.25</c:v>
                </c:pt>
                <c:pt idx="3">
                  <c:v>19.75</c:v>
                </c:pt>
                <c:pt idx="4">
                  <c:v>20</c:v>
                </c:pt>
                <c:pt idx="5">
                  <c:v>26</c:v>
                </c:pt>
                <c:pt idx="6">
                  <c:v>41.916669999999996</c:v>
                </c:pt>
                <c:pt idx="7">
                  <c:v>52.246669999999995</c:v>
                </c:pt>
                <c:pt idx="8">
                  <c:v>63.246669999999995</c:v>
                </c:pt>
                <c:pt idx="9">
                  <c:v>80.746669999999995</c:v>
                </c:pt>
                <c:pt idx="10">
                  <c:v>81.746669999999995</c:v>
                </c:pt>
                <c:pt idx="11">
                  <c:v>94.746669999999995</c:v>
                </c:pt>
                <c:pt idx="12">
                  <c:v>111.74666999999999</c:v>
                </c:pt>
                <c:pt idx="13">
                  <c:v>116.74666999999999</c:v>
                </c:pt>
                <c:pt idx="14">
                  <c:v>123.14667</c:v>
                </c:pt>
                <c:pt idx="15">
                  <c:v>129.47667000000001</c:v>
                </c:pt>
                <c:pt idx="16">
                  <c:v>150.47667000000001</c:v>
                </c:pt>
                <c:pt idx="17">
                  <c:v>152.97667000000001</c:v>
                </c:pt>
                <c:pt idx="18">
                  <c:v>156.52667000000002</c:v>
                </c:pt>
                <c:pt idx="19">
                  <c:v>159.02667000000002</c:v>
                </c:pt>
                <c:pt idx="20">
                  <c:v>187.82667000000004</c:v>
                </c:pt>
                <c:pt idx="21">
                  <c:v>251.24667000000005</c:v>
                </c:pt>
                <c:pt idx="22">
                  <c:v>286.24667000000005</c:v>
                </c:pt>
                <c:pt idx="23">
                  <c:v>300.66667000000007</c:v>
                </c:pt>
                <c:pt idx="24">
                  <c:v>302.16667000000007</c:v>
                </c:pt>
                <c:pt idx="25">
                  <c:v>311.08667000000008</c:v>
                </c:pt>
                <c:pt idx="26">
                  <c:v>312.78667000000007</c:v>
                </c:pt>
                <c:pt idx="27">
                  <c:v>340.95667000000009</c:v>
                </c:pt>
                <c:pt idx="28">
                  <c:v>345.05667000000011</c:v>
                </c:pt>
                <c:pt idx="29">
                  <c:v>347.88667000000009</c:v>
                </c:pt>
                <c:pt idx="30">
                  <c:v>351.88667000000009</c:v>
                </c:pt>
                <c:pt idx="31">
                  <c:v>363.38667000000009</c:v>
                </c:pt>
                <c:pt idx="32">
                  <c:v>369.38667000000009</c:v>
                </c:pt>
                <c:pt idx="33">
                  <c:v>372.80667000000011</c:v>
                </c:pt>
                <c:pt idx="34">
                  <c:v>391.80667000000011</c:v>
                </c:pt>
                <c:pt idx="35">
                  <c:v>392.47667000000013</c:v>
                </c:pt>
                <c:pt idx="36">
                  <c:v>392.72667000000013</c:v>
                </c:pt>
                <c:pt idx="37">
                  <c:v>395.97667000000013</c:v>
                </c:pt>
                <c:pt idx="38">
                  <c:v>397.27667000000014</c:v>
                </c:pt>
                <c:pt idx="39">
                  <c:v>402.60667000000012</c:v>
                </c:pt>
                <c:pt idx="40">
                  <c:v>404.10667000000012</c:v>
                </c:pt>
                <c:pt idx="41">
                  <c:v>406.10667000000012</c:v>
                </c:pt>
                <c:pt idx="42">
                  <c:v>413.60667000000012</c:v>
                </c:pt>
                <c:pt idx="43">
                  <c:v>415.85667000000012</c:v>
                </c:pt>
                <c:pt idx="44">
                  <c:v>417.60667000000012</c:v>
                </c:pt>
                <c:pt idx="45">
                  <c:v>420.10667000000012</c:v>
                </c:pt>
                <c:pt idx="46">
                  <c:v>421.80667000000011</c:v>
                </c:pt>
                <c:pt idx="47">
                  <c:v>430.05667000000011</c:v>
                </c:pt>
                <c:pt idx="48">
                  <c:v>444.2566700000001</c:v>
                </c:pt>
                <c:pt idx="49">
                  <c:v>457.17667000000012</c:v>
                </c:pt>
                <c:pt idx="50">
                  <c:v>461.67667000000012</c:v>
                </c:pt>
                <c:pt idx="51">
                  <c:v>464.09667000000013</c:v>
                </c:pt>
                <c:pt idx="52">
                  <c:v>466.09667000000013</c:v>
                </c:pt>
                <c:pt idx="53">
                  <c:v>470.42667000000012</c:v>
                </c:pt>
                <c:pt idx="54">
                  <c:v>479.42667000000012</c:v>
                </c:pt>
                <c:pt idx="55">
                  <c:v>484.42667000000012</c:v>
                </c:pt>
                <c:pt idx="56">
                  <c:v>491.42667000000012</c:v>
                </c:pt>
                <c:pt idx="57">
                  <c:v>493.92667000000012</c:v>
                </c:pt>
                <c:pt idx="58">
                  <c:v>509.1266700000001</c:v>
                </c:pt>
                <c:pt idx="59">
                  <c:v>532.1266700000001</c:v>
                </c:pt>
                <c:pt idx="60">
                  <c:v>561.32667000000015</c:v>
                </c:pt>
                <c:pt idx="61">
                  <c:v>590.57667000000015</c:v>
                </c:pt>
                <c:pt idx="62">
                  <c:v>615.07667000000015</c:v>
                </c:pt>
                <c:pt idx="63">
                  <c:v>620.40667000000019</c:v>
                </c:pt>
                <c:pt idx="64">
                  <c:v>620.90667000000019</c:v>
                </c:pt>
                <c:pt idx="65">
                  <c:v>626.65667000000019</c:v>
                </c:pt>
                <c:pt idx="66">
                  <c:v>650.15667000000019</c:v>
                </c:pt>
                <c:pt idx="67">
                  <c:v>658.23667000000023</c:v>
                </c:pt>
                <c:pt idx="68">
                  <c:v>669.73667000000023</c:v>
                </c:pt>
                <c:pt idx="69">
                  <c:v>674.73667000000023</c:v>
                </c:pt>
                <c:pt idx="70">
                  <c:v>676.48667000000023</c:v>
                </c:pt>
                <c:pt idx="71">
                  <c:v>685.10667000000024</c:v>
                </c:pt>
                <c:pt idx="72">
                  <c:v>698.85667000000024</c:v>
                </c:pt>
                <c:pt idx="73">
                  <c:v>707.43667000000028</c:v>
                </c:pt>
                <c:pt idx="74">
                  <c:v>708.93667000000028</c:v>
                </c:pt>
                <c:pt idx="75">
                  <c:v>713.68667000000028</c:v>
                </c:pt>
                <c:pt idx="76">
                  <c:v>717.33667000000025</c:v>
                </c:pt>
                <c:pt idx="77">
                  <c:v>735.43667000000028</c:v>
                </c:pt>
              </c:numCache>
            </c:numRef>
          </c:cat>
          <c:val>
            <c:numRef>
              <c:f>'MV Amalie'!$B$7:$CA$7</c:f>
              <c:numCache>
                <c:formatCode>General</c:formatCode>
                <c:ptCount val="78"/>
                <c:pt idx="0">
                  <c:v>58.995069999999998</c:v>
                </c:pt>
                <c:pt idx="1">
                  <c:v>58.995069999999998</c:v>
                </c:pt>
                <c:pt idx="2">
                  <c:v>58.921900000000001</c:v>
                </c:pt>
                <c:pt idx="3">
                  <c:v>58.921900000000001</c:v>
                </c:pt>
                <c:pt idx="4">
                  <c:v>58.934579999999997</c:v>
                </c:pt>
                <c:pt idx="5">
                  <c:v>58.934579999999997</c:v>
                </c:pt>
                <c:pt idx="6">
                  <c:v>60.373800000000003</c:v>
                </c:pt>
                <c:pt idx="7">
                  <c:v>60.373800000000003</c:v>
                </c:pt>
                <c:pt idx="8">
                  <c:v>58.934579999999997</c:v>
                </c:pt>
                <c:pt idx="9">
                  <c:v>58.934579999999997</c:v>
                </c:pt>
                <c:pt idx="10">
                  <c:v>58.995069999999998</c:v>
                </c:pt>
                <c:pt idx="11">
                  <c:v>58.995069999999998</c:v>
                </c:pt>
                <c:pt idx="12">
                  <c:v>60.811279999999996</c:v>
                </c:pt>
                <c:pt idx="13">
                  <c:v>60.811279999999996</c:v>
                </c:pt>
                <c:pt idx="14">
                  <c:v>61.602170000000001</c:v>
                </c:pt>
                <c:pt idx="15">
                  <c:v>61.602170000000001</c:v>
                </c:pt>
                <c:pt idx="16">
                  <c:v>58.995069999999998</c:v>
                </c:pt>
                <c:pt idx="17">
                  <c:v>58.995069999999998</c:v>
                </c:pt>
                <c:pt idx="18">
                  <c:v>59.413499999999999</c:v>
                </c:pt>
                <c:pt idx="19">
                  <c:v>59.413499999999999</c:v>
                </c:pt>
                <c:pt idx="20">
                  <c:v>63.110329999999998</c:v>
                </c:pt>
                <c:pt idx="21">
                  <c:v>63.110329999999998</c:v>
                </c:pt>
                <c:pt idx="22">
                  <c:v>58.934579999999997</c:v>
                </c:pt>
                <c:pt idx="23">
                  <c:v>58.934579999999997</c:v>
                </c:pt>
                <c:pt idx="24">
                  <c:v>58.995069999999998</c:v>
                </c:pt>
                <c:pt idx="25">
                  <c:v>58.995069999999998</c:v>
                </c:pt>
                <c:pt idx="26">
                  <c:v>58.921900000000001</c:v>
                </c:pt>
                <c:pt idx="27">
                  <c:v>58.921900000000001</c:v>
                </c:pt>
                <c:pt idx="28">
                  <c:v>62.917850000000001</c:v>
                </c:pt>
                <c:pt idx="29">
                  <c:v>62.917850000000001</c:v>
                </c:pt>
                <c:pt idx="30">
                  <c:v>60.811279999999996</c:v>
                </c:pt>
                <c:pt idx="31">
                  <c:v>60.811279999999996</c:v>
                </c:pt>
                <c:pt idx="32">
                  <c:v>61.602170000000001</c:v>
                </c:pt>
                <c:pt idx="33">
                  <c:v>61.602170000000001</c:v>
                </c:pt>
                <c:pt idx="34">
                  <c:v>58.921900000000001</c:v>
                </c:pt>
                <c:pt idx="35">
                  <c:v>58.921900000000001</c:v>
                </c:pt>
                <c:pt idx="36">
                  <c:v>58.934579999999997</c:v>
                </c:pt>
                <c:pt idx="37">
                  <c:v>58.934579999999997</c:v>
                </c:pt>
                <c:pt idx="38">
                  <c:v>58.921900000000001</c:v>
                </c:pt>
                <c:pt idx="39">
                  <c:v>58.921900000000001</c:v>
                </c:pt>
                <c:pt idx="40">
                  <c:v>58.995069999999998</c:v>
                </c:pt>
                <c:pt idx="41">
                  <c:v>58.995069999999998</c:v>
                </c:pt>
                <c:pt idx="42">
                  <c:v>58.934579999999997</c:v>
                </c:pt>
                <c:pt idx="43">
                  <c:v>58.934579999999997</c:v>
                </c:pt>
                <c:pt idx="44">
                  <c:v>58.995069999999998</c:v>
                </c:pt>
                <c:pt idx="45">
                  <c:v>58.995069999999998</c:v>
                </c:pt>
                <c:pt idx="46">
                  <c:v>58.921900000000001</c:v>
                </c:pt>
                <c:pt idx="47">
                  <c:v>58.921900000000001</c:v>
                </c:pt>
                <c:pt idx="48">
                  <c:v>60.811279999999996</c:v>
                </c:pt>
                <c:pt idx="49">
                  <c:v>60.811279999999996</c:v>
                </c:pt>
                <c:pt idx="50">
                  <c:v>60.403860000000002</c:v>
                </c:pt>
                <c:pt idx="51">
                  <c:v>60.403860000000002</c:v>
                </c:pt>
                <c:pt idx="52">
                  <c:v>62.917850000000001</c:v>
                </c:pt>
                <c:pt idx="53">
                  <c:v>62.917850000000001</c:v>
                </c:pt>
                <c:pt idx="54">
                  <c:v>61.602170000000001</c:v>
                </c:pt>
                <c:pt idx="55">
                  <c:v>61.602170000000001</c:v>
                </c:pt>
                <c:pt idx="56">
                  <c:v>60.811279999999996</c:v>
                </c:pt>
                <c:pt idx="57">
                  <c:v>60.811279999999996</c:v>
                </c:pt>
                <c:pt idx="58">
                  <c:v>58.921900000000001</c:v>
                </c:pt>
                <c:pt idx="59">
                  <c:v>58.921900000000001</c:v>
                </c:pt>
                <c:pt idx="60">
                  <c:v>62.917850000000001</c:v>
                </c:pt>
                <c:pt idx="61">
                  <c:v>62.917850000000001</c:v>
                </c:pt>
                <c:pt idx="62">
                  <c:v>63.110329999999998</c:v>
                </c:pt>
                <c:pt idx="63">
                  <c:v>63.110329999999998</c:v>
                </c:pt>
                <c:pt idx="64">
                  <c:v>63.088909999999998</c:v>
                </c:pt>
                <c:pt idx="65">
                  <c:v>63.088909999999998</c:v>
                </c:pt>
                <c:pt idx="66">
                  <c:v>60.403860000000002</c:v>
                </c:pt>
                <c:pt idx="67">
                  <c:v>60.403860000000002</c:v>
                </c:pt>
                <c:pt idx="68">
                  <c:v>58.921900000000001</c:v>
                </c:pt>
                <c:pt idx="69">
                  <c:v>58.921900000000001</c:v>
                </c:pt>
                <c:pt idx="70">
                  <c:v>58.995069999999998</c:v>
                </c:pt>
                <c:pt idx="71">
                  <c:v>58.995069999999998</c:v>
                </c:pt>
                <c:pt idx="72">
                  <c:v>60.811279999999996</c:v>
                </c:pt>
                <c:pt idx="73">
                  <c:v>60.811279999999996</c:v>
                </c:pt>
                <c:pt idx="74">
                  <c:v>60.855429999999998</c:v>
                </c:pt>
                <c:pt idx="75">
                  <c:v>60.855429999999998</c:v>
                </c:pt>
                <c:pt idx="76">
                  <c:v>60.811279999999996</c:v>
                </c:pt>
                <c:pt idx="77">
                  <c:v>60.811279999999996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187712"/>
        <c:axId val="313182272"/>
      </c:lineChart>
      <c:catAx>
        <c:axId val="31318771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13182272"/>
        <c:crosses val="autoZero"/>
        <c:auto val="1"/>
        <c:lblAlgn val="ctr"/>
        <c:lblOffset val="100"/>
        <c:noMultiLvlLbl val="0"/>
      </c:catAx>
      <c:valAx>
        <c:axId val="313182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13187712"/>
        <c:crosses val="autoZero"/>
        <c:crossBetween val="between"/>
      </c:valAx>
      <c:spPr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'MV Lelie'!$B$6:$BC$6</c:f>
              <c:numCache>
                <c:formatCode>0.00</c:formatCode>
                <c:ptCount val="54"/>
                <c:pt idx="0">
                  <c:v>0</c:v>
                </c:pt>
                <c:pt idx="1">
                  <c:v>103.3</c:v>
                </c:pt>
                <c:pt idx="2">
                  <c:v>125.57</c:v>
                </c:pt>
                <c:pt idx="3">
                  <c:v>170.29</c:v>
                </c:pt>
                <c:pt idx="4">
                  <c:v>219.33999999999997</c:v>
                </c:pt>
                <c:pt idx="5">
                  <c:v>226.21999999999997</c:v>
                </c:pt>
                <c:pt idx="6">
                  <c:v>227.23999999999998</c:v>
                </c:pt>
                <c:pt idx="7">
                  <c:v>255.01999999999998</c:v>
                </c:pt>
                <c:pt idx="8">
                  <c:v>291.04999999999995</c:v>
                </c:pt>
                <c:pt idx="9">
                  <c:v>372.04999999999995</c:v>
                </c:pt>
                <c:pt idx="10">
                  <c:v>779.05</c:v>
                </c:pt>
                <c:pt idx="11">
                  <c:v>782.02</c:v>
                </c:pt>
                <c:pt idx="12">
                  <c:v>783.05</c:v>
                </c:pt>
                <c:pt idx="13">
                  <c:v>799.34999999999991</c:v>
                </c:pt>
                <c:pt idx="14">
                  <c:v>812.43</c:v>
                </c:pt>
                <c:pt idx="15">
                  <c:v>827.06</c:v>
                </c:pt>
                <c:pt idx="16">
                  <c:v>833.01</c:v>
                </c:pt>
                <c:pt idx="17">
                  <c:v>859.21</c:v>
                </c:pt>
                <c:pt idx="18">
                  <c:v>877.28000000000009</c:v>
                </c:pt>
                <c:pt idx="19">
                  <c:v>886.71</c:v>
                </c:pt>
                <c:pt idx="20">
                  <c:v>927.73</c:v>
                </c:pt>
                <c:pt idx="21">
                  <c:v>968.73</c:v>
                </c:pt>
                <c:pt idx="22">
                  <c:v>973.73</c:v>
                </c:pt>
                <c:pt idx="23">
                  <c:v>998.98</c:v>
                </c:pt>
                <c:pt idx="24">
                  <c:v>1016.73</c:v>
                </c:pt>
                <c:pt idx="25">
                  <c:v>1045.45</c:v>
                </c:pt>
                <c:pt idx="26">
                  <c:v>1085.18</c:v>
                </c:pt>
                <c:pt idx="27">
                  <c:v>1112.93</c:v>
                </c:pt>
                <c:pt idx="28">
                  <c:v>1114.01</c:v>
                </c:pt>
                <c:pt idx="29">
                  <c:v>1118.0899999999999</c:v>
                </c:pt>
                <c:pt idx="30">
                  <c:v>1157.9199999999998</c:v>
                </c:pt>
                <c:pt idx="31">
                  <c:v>1181.0899999999999</c:v>
                </c:pt>
                <c:pt idx="32">
                  <c:v>1206.3399999999999</c:v>
                </c:pt>
                <c:pt idx="33">
                  <c:v>1214.6099999999999</c:v>
                </c:pt>
                <c:pt idx="34">
                  <c:v>1239.8599999999999</c:v>
                </c:pt>
                <c:pt idx="35">
                  <c:v>1240.1299999999999</c:v>
                </c:pt>
                <c:pt idx="36">
                  <c:v>1252.28</c:v>
                </c:pt>
                <c:pt idx="37">
                  <c:v>1260.55</c:v>
                </c:pt>
                <c:pt idx="38">
                  <c:v>1280.8799999999999</c:v>
                </c:pt>
                <c:pt idx="39">
                  <c:v>1299.4999999999998</c:v>
                </c:pt>
                <c:pt idx="40">
                  <c:v>1323.0999999999997</c:v>
                </c:pt>
                <c:pt idx="41">
                  <c:v>1386.4799999999998</c:v>
                </c:pt>
                <c:pt idx="42">
                  <c:v>1491.0099999999998</c:v>
                </c:pt>
                <c:pt idx="43">
                  <c:v>1527.6899999999998</c:v>
                </c:pt>
                <c:pt idx="44">
                  <c:v>1566.86</c:v>
                </c:pt>
                <c:pt idx="45">
                  <c:v>1575.74</c:v>
                </c:pt>
                <c:pt idx="46">
                  <c:v>1576.79</c:v>
                </c:pt>
                <c:pt idx="47">
                  <c:v>1595.32</c:v>
                </c:pt>
                <c:pt idx="48">
                  <c:v>1612.6499999999999</c:v>
                </c:pt>
                <c:pt idx="49">
                  <c:v>1624.9799999999998</c:v>
                </c:pt>
                <c:pt idx="50">
                  <c:v>1635.5999999999997</c:v>
                </c:pt>
                <c:pt idx="51">
                  <c:v>1651.4299999999996</c:v>
                </c:pt>
                <c:pt idx="52">
                  <c:v>1712.3999999999996</c:v>
                </c:pt>
                <c:pt idx="53">
                  <c:v>1743.0499999999997</c:v>
                </c:pt>
              </c:numCache>
            </c:numRef>
          </c:cat>
          <c:val>
            <c:numRef>
              <c:f>'MV Lelie'!$B$7:$BC$7</c:f>
              <c:numCache>
                <c:formatCode>General</c:formatCode>
                <c:ptCount val="54"/>
                <c:pt idx="0">
                  <c:v>52.456949999999999</c:v>
                </c:pt>
                <c:pt idx="1">
                  <c:v>52.456949999999999</c:v>
                </c:pt>
                <c:pt idx="2">
                  <c:v>53.539580000000001</c:v>
                </c:pt>
                <c:pt idx="3">
                  <c:v>53.539580000000001</c:v>
                </c:pt>
                <c:pt idx="4">
                  <c:v>58.995069999999998</c:v>
                </c:pt>
                <c:pt idx="5">
                  <c:v>58.995069999999998</c:v>
                </c:pt>
                <c:pt idx="6">
                  <c:v>58.921900000000001</c:v>
                </c:pt>
                <c:pt idx="7">
                  <c:v>58.921900000000001</c:v>
                </c:pt>
                <c:pt idx="8">
                  <c:v>52.456949999999999</c:v>
                </c:pt>
                <c:pt idx="9">
                  <c:v>52.456949999999999</c:v>
                </c:pt>
                <c:pt idx="10">
                  <c:v>58.995069999999998</c:v>
                </c:pt>
                <c:pt idx="11">
                  <c:v>58.995069999999998</c:v>
                </c:pt>
                <c:pt idx="12">
                  <c:v>58.921900000000001</c:v>
                </c:pt>
                <c:pt idx="13">
                  <c:v>58.921900000000001</c:v>
                </c:pt>
                <c:pt idx="14">
                  <c:v>60.811279999999996</c:v>
                </c:pt>
                <c:pt idx="15">
                  <c:v>60.811279999999996</c:v>
                </c:pt>
                <c:pt idx="16">
                  <c:v>61.602170000000001</c:v>
                </c:pt>
                <c:pt idx="17">
                  <c:v>61.602170000000001</c:v>
                </c:pt>
                <c:pt idx="18">
                  <c:v>58.921900000000001</c:v>
                </c:pt>
                <c:pt idx="19">
                  <c:v>58.921900000000001</c:v>
                </c:pt>
                <c:pt idx="20">
                  <c:v>52.456949999999999</c:v>
                </c:pt>
                <c:pt idx="21">
                  <c:v>52.456949999999999</c:v>
                </c:pt>
                <c:pt idx="22">
                  <c:v>55.476460000000003</c:v>
                </c:pt>
                <c:pt idx="23">
                  <c:v>55.476460000000003</c:v>
                </c:pt>
                <c:pt idx="24">
                  <c:v>53.539580000000001</c:v>
                </c:pt>
                <c:pt idx="25">
                  <c:v>53.539580000000001</c:v>
                </c:pt>
                <c:pt idx="26">
                  <c:v>58.921900000000001</c:v>
                </c:pt>
                <c:pt idx="27">
                  <c:v>58.921900000000001</c:v>
                </c:pt>
                <c:pt idx="28">
                  <c:v>58.995069999999998</c:v>
                </c:pt>
                <c:pt idx="29">
                  <c:v>58.995069999999998</c:v>
                </c:pt>
                <c:pt idx="30">
                  <c:v>52.456949999999999</c:v>
                </c:pt>
                <c:pt idx="31">
                  <c:v>52.456949999999999</c:v>
                </c:pt>
                <c:pt idx="32">
                  <c:v>55.476460000000003</c:v>
                </c:pt>
                <c:pt idx="33">
                  <c:v>55.476460000000003</c:v>
                </c:pt>
                <c:pt idx="34">
                  <c:v>59.413580000000003</c:v>
                </c:pt>
                <c:pt idx="35">
                  <c:v>59.413580000000003</c:v>
                </c:pt>
                <c:pt idx="36">
                  <c:v>60.811279999999996</c:v>
                </c:pt>
                <c:pt idx="37">
                  <c:v>60.811279999999996</c:v>
                </c:pt>
                <c:pt idx="38">
                  <c:v>63.110329999999998</c:v>
                </c:pt>
                <c:pt idx="39">
                  <c:v>63.110329999999998</c:v>
                </c:pt>
                <c:pt idx="40">
                  <c:v>66.021550000000005</c:v>
                </c:pt>
                <c:pt idx="41">
                  <c:v>66.021550000000005</c:v>
                </c:pt>
                <c:pt idx="42">
                  <c:v>52.456949999999999</c:v>
                </c:pt>
                <c:pt idx="43">
                  <c:v>52.456949999999999</c:v>
                </c:pt>
                <c:pt idx="44">
                  <c:v>58.921900000000001</c:v>
                </c:pt>
                <c:pt idx="45">
                  <c:v>58.921900000000001</c:v>
                </c:pt>
                <c:pt idx="46">
                  <c:v>58.995069999999998</c:v>
                </c:pt>
                <c:pt idx="47">
                  <c:v>58.995069999999998</c:v>
                </c:pt>
                <c:pt idx="48">
                  <c:v>60.811279999999996</c:v>
                </c:pt>
                <c:pt idx="49">
                  <c:v>60.811279999999996</c:v>
                </c:pt>
                <c:pt idx="50">
                  <c:v>61.602170000000001</c:v>
                </c:pt>
                <c:pt idx="51">
                  <c:v>61.602170000000001</c:v>
                </c:pt>
                <c:pt idx="52">
                  <c:v>52.456949999999999</c:v>
                </c:pt>
                <c:pt idx="53">
                  <c:v>52.456949999999999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38304"/>
        <c:axId val="312739480"/>
      </c:lineChart>
      <c:catAx>
        <c:axId val="31273830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12739480"/>
        <c:crosses val="autoZero"/>
        <c:auto val="1"/>
        <c:lblAlgn val="ctr"/>
        <c:lblOffset val="100"/>
        <c:noMultiLvlLbl val="0"/>
      </c:catAx>
      <c:valAx>
        <c:axId val="312739480"/>
        <c:scaling>
          <c:orientation val="minMax"/>
          <c:max val="66"/>
          <c:min val="51"/>
        </c:scaling>
        <c:delete val="1"/>
        <c:axPos val="l"/>
        <c:numFmt formatCode="General" sourceLinked="1"/>
        <c:majorTickMark val="out"/>
        <c:minorTickMark val="none"/>
        <c:tickLblPos val="nextTo"/>
        <c:crossAx val="31273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Lelie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Utnyttet grad</c:v>
              </c:pt>
            </c:strLit>
          </c:cat>
          <c:val>
            <c:numRef>
              <c:f>'MV Lelie'!$B$46:$B$47</c:f>
              <c:numCache>
                <c:formatCode>0%</c:formatCode>
                <c:ptCount val="2"/>
                <c:pt idx="0">
                  <c:v>0.14669442715005671</c:v>
                </c:pt>
                <c:pt idx="1">
                  <c:v>0.85330557284994324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Lelie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'MV Lelie'!$A$81:$A$82</c:f>
              <c:strCache>
                <c:ptCount val="2"/>
                <c:pt idx="0">
                  <c:v>Tid ved kai</c:v>
                </c:pt>
                <c:pt idx="1">
                  <c:v>Tid på sjø</c:v>
                </c:pt>
              </c:strCache>
            </c:strRef>
          </c:cat>
          <c:val>
            <c:numRef>
              <c:f>'MV Lelie'!$B$81:$B$82</c:f>
              <c:numCache>
                <c:formatCode>0%</c:formatCode>
                <c:ptCount val="2"/>
                <c:pt idx="0">
                  <c:v>0.45540225288275687</c:v>
                </c:pt>
                <c:pt idx="1">
                  <c:v>0.54459774711724307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300">
                <a:solidFill>
                  <a:sysClr val="windowText" lastClr="000000"/>
                </a:solidFill>
              </a:rPr>
              <a:t>MV Lelie</a:t>
            </a:r>
          </a:p>
        </c:rich>
      </c:tx>
      <c:layout>
        <c:manualLayout>
          <c:xMode val="edge"/>
          <c:yMode val="edge"/>
          <c:x val="0.40765369699354592"/>
          <c:y val="8.4865918510247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'MV Lelie'!$A$101:$A$102</c:f>
              <c:strCache>
                <c:ptCount val="2"/>
                <c:pt idx="0">
                  <c:v>Bulkoperasjon</c:v>
                </c:pt>
                <c:pt idx="1">
                  <c:v>Annet</c:v>
                </c:pt>
              </c:strCache>
            </c:strRef>
          </c:cat>
          <c:val>
            <c:numRef>
              <c:f>'MV Lelie'!$B$101:$B$102</c:f>
              <c:numCache>
                <c:formatCode>0%</c:formatCode>
                <c:ptCount val="2"/>
                <c:pt idx="0">
                  <c:v>0.67445535975645443</c:v>
                </c:pt>
                <c:pt idx="1">
                  <c:v>0.3255446402435454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Tørrbulk</a:t>
            </a:r>
            <a:br>
              <a:rPr lang="nb-NO"/>
            </a:br>
            <a:r>
              <a:rPr lang="nb-NO" sz="1200" i="1"/>
              <a:t>2</a:t>
            </a:r>
            <a:r>
              <a:rPr lang="nb-NO" sz="1200" i="1" baseline="0"/>
              <a:t> 901 MT fordelt på fem baser</a:t>
            </a:r>
            <a:endParaRPr lang="nb-NO" sz="1200" i="1"/>
          </a:p>
        </c:rich>
      </c:tx>
      <c:layout>
        <c:manualLayout>
          <c:xMode val="edge"/>
          <c:yMode val="edge"/>
          <c:x val="0.20406933508311464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'MV Lelie'!$A$135</c:f>
              <c:strCache>
                <c:ptCount val="1"/>
                <c:pt idx="0">
                  <c:v>Tonnasje til base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'MV Lelie'!$B$134:$I$134</c:f>
              <c:strCache>
                <c:ptCount val="8"/>
                <c:pt idx="0">
                  <c:v>Dusavik</c:v>
                </c:pt>
                <c:pt idx="1">
                  <c:v>Tananger A</c:v>
                </c:pt>
                <c:pt idx="2">
                  <c:v>Tananger N</c:v>
                </c:pt>
                <c:pt idx="3">
                  <c:v>Ågotnes</c:v>
                </c:pt>
                <c:pt idx="4">
                  <c:v>Mongstad</c:v>
                </c:pt>
                <c:pt idx="5">
                  <c:v>Florø</c:v>
                </c:pt>
                <c:pt idx="6">
                  <c:v>Kristiansund</c:v>
                </c:pt>
                <c:pt idx="7">
                  <c:v>Averøy</c:v>
                </c:pt>
              </c:strCache>
            </c:strRef>
          </c:cat>
          <c:val>
            <c:numRef>
              <c:f>'MV Lelie'!$B$135:$I$135</c:f>
              <c:numCache>
                <c:formatCode>General</c:formatCode>
                <c:ptCount val="8"/>
                <c:pt idx="0">
                  <c:v>228.85329999999999</c:v>
                </c:pt>
                <c:pt idx="1">
                  <c:v>986</c:v>
                </c:pt>
                <c:pt idx="2">
                  <c:v>0</c:v>
                </c:pt>
                <c:pt idx="3">
                  <c:v>0</c:v>
                </c:pt>
                <c:pt idx="4">
                  <c:v>558</c:v>
                </c:pt>
                <c:pt idx="5">
                  <c:v>578</c:v>
                </c:pt>
                <c:pt idx="6">
                  <c:v>550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9967585301837276"/>
          <c:y val="0.38510279965004374"/>
          <c:w val="0.16976859142607173"/>
          <c:h val="0.382135826771653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Døgnfordeling</a:t>
            </a:r>
          </a:p>
        </c:rich>
      </c:tx>
      <c:layout>
        <c:manualLayout>
          <c:xMode val="edge"/>
          <c:yMode val="edge"/>
          <c:x val="0.38863833299341866"/>
          <c:y val="6.15655233069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Samlet!$A$37:$A$39</c:f>
              <c:strCache>
                <c:ptCount val="3"/>
                <c:pt idx="0">
                  <c:v>Kjernetid (08-16)</c:v>
                </c:pt>
                <c:pt idx="1">
                  <c:v>Kveldstid (16-23)</c:v>
                </c:pt>
                <c:pt idx="2">
                  <c:v>Nattestid (23-08)</c:v>
                </c:pt>
              </c:strCache>
            </c:strRef>
          </c:cat>
          <c:val>
            <c:numRef>
              <c:f>Samlet!$B$37:$B$39</c:f>
              <c:numCache>
                <c:formatCode>0%</c:formatCode>
                <c:ptCount val="3"/>
                <c:pt idx="0">
                  <c:v>0.3310735319976722</c:v>
                </c:pt>
                <c:pt idx="1">
                  <c:v>0.30059652408469317</c:v>
                </c:pt>
                <c:pt idx="2">
                  <c:v>0.36832994391763452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Våtbulk</a:t>
            </a:r>
            <a:br>
              <a:rPr lang="nb-NO"/>
            </a:br>
            <a:r>
              <a:rPr lang="nb-NO" sz="1200" i="1"/>
              <a:t>8</a:t>
            </a:r>
            <a:r>
              <a:rPr lang="nb-NO" sz="1200" i="1" baseline="0"/>
              <a:t> 951 m</a:t>
            </a:r>
            <a:r>
              <a:rPr lang="nb-NO" sz="1200" b="0" i="1" u="none" strike="noStrike" baseline="0">
                <a:effectLst/>
              </a:rPr>
              <a:t>³</a:t>
            </a:r>
            <a:r>
              <a:rPr lang="nb-NO" sz="1200" i="1" baseline="0"/>
              <a:t> fordelt på syv baser</a:t>
            </a:r>
            <a:endParaRPr lang="nb-NO" sz="1200" i="1"/>
          </a:p>
        </c:rich>
      </c:tx>
      <c:layout>
        <c:manualLayout>
          <c:xMode val="edge"/>
          <c:yMode val="edge"/>
          <c:x val="0.21089951089556613"/>
          <c:y val="5.2752765483929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575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B57CF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Samlet!$B$66:$I$66</c:f>
              <c:strCache>
                <c:ptCount val="8"/>
                <c:pt idx="0">
                  <c:v>Dusavik</c:v>
                </c:pt>
                <c:pt idx="1">
                  <c:v>Tananger A</c:v>
                </c:pt>
                <c:pt idx="2">
                  <c:v>Tananger N</c:v>
                </c:pt>
                <c:pt idx="3">
                  <c:v>Ågotnes</c:v>
                </c:pt>
                <c:pt idx="4">
                  <c:v>Mongstad</c:v>
                </c:pt>
                <c:pt idx="5">
                  <c:v>Florø</c:v>
                </c:pt>
                <c:pt idx="6">
                  <c:v>Kristiansund</c:v>
                </c:pt>
                <c:pt idx="7">
                  <c:v>Averøy</c:v>
                </c:pt>
              </c:strCache>
            </c:strRef>
          </c:cat>
          <c:val>
            <c:numRef>
              <c:f>Samlet!$B$67:$I$67</c:f>
              <c:numCache>
                <c:formatCode>0.00</c:formatCode>
                <c:ptCount val="8"/>
                <c:pt idx="0">
                  <c:v>1842</c:v>
                </c:pt>
                <c:pt idx="1">
                  <c:v>730</c:v>
                </c:pt>
                <c:pt idx="2">
                  <c:v>610</c:v>
                </c:pt>
                <c:pt idx="3">
                  <c:v>1137</c:v>
                </c:pt>
                <c:pt idx="4">
                  <c:v>2088</c:v>
                </c:pt>
                <c:pt idx="5">
                  <c:v>1543</c:v>
                </c:pt>
                <c:pt idx="6">
                  <c:v>1001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Amalie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Utnyttet kapasitet</c:v>
              </c:pt>
            </c:strLit>
          </c:cat>
          <c:val>
            <c:numRef>
              <c:f>'MV Amalie'!$B$56:$B$57</c:f>
              <c:numCache>
                <c:formatCode>0%</c:formatCode>
                <c:ptCount val="2"/>
                <c:pt idx="0">
                  <c:v>0.35780189171437587</c:v>
                </c:pt>
                <c:pt idx="1">
                  <c:v>0.64219810828562407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Amalie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'MV Amalie'!$A$94:$A$95</c:f>
              <c:strCache>
                <c:ptCount val="2"/>
                <c:pt idx="0">
                  <c:v>Tid ved kai</c:v>
                </c:pt>
                <c:pt idx="1">
                  <c:v>Tid på sjø</c:v>
                </c:pt>
              </c:strCache>
            </c:strRef>
          </c:cat>
          <c:val>
            <c:numRef>
              <c:f>'MV Amalie'!$B$94:$B$95</c:f>
              <c:numCache>
                <c:formatCode>0%</c:formatCode>
                <c:ptCount val="2"/>
                <c:pt idx="0">
                  <c:v>0.53014825708493973</c:v>
                </c:pt>
                <c:pt idx="1">
                  <c:v>0.46985174291506021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Amalie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'MV Amalie'!$A$120:$A$123</c:f>
              <c:strCache>
                <c:ptCount val="4"/>
                <c:pt idx="0">
                  <c:v>Bulkoperasjon</c:v>
                </c:pt>
                <c:pt idx="1">
                  <c:v>Planlagt tankvask</c:v>
                </c:pt>
                <c:pt idx="2">
                  <c:v>Dekkslastoperasjon</c:v>
                </c:pt>
                <c:pt idx="3">
                  <c:v>Annet</c:v>
                </c:pt>
              </c:strCache>
            </c:strRef>
          </c:cat>
          <c:val>
            <c:numRef>
              <c:f>'MV Amalie'!$B$120:$B$123</c:f>
              <c:numCache>
                <c:formatCode>0%</c:formatCode>
                <c:ptCount val="4"/>
                <c:pt idx="0">
                  <c:v>0.38287172989453694</c:v>
                </c:pt>
                <c:pt idx="1">
                  <c:v>4.3109911530964162E-2</c:v>
                </c:pt>
                <c:pt idx="2">
                  <c:v>6.6364272504623387E-2</c:v>
                </c:pt>
                <c:pt idx="3">
                  <c:v>0.50765408606987561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'MV Susanne Theresa'!$B$6:$AU$6</c:f>
              <c:numCache>
                <c:formatCode>0.00</c:formatCode>
                <c:ptCount val="46"/>
                <c:pt idx="0">
                  <c:v>0</c:v>
                </c:pt>
                <c:pt idx="1">
                  <c:v>11.58</c:v>
                </c:pt>
                <c:pt idx="2">
                  <c:v>12.33</c:v>
                </c:pt>
                <c:pt idx="3">
                  <c:v>16.579999999999998</c:v>
                </c:pt>
                <c:pt idx="4">
                  <c:v>35.83</c:v>
                </c:pt>
                <c:pt idx="5">
                  <c:v>38.659999999999997</c:v>
                </c:pt>
                <c:pt idx="6">
                  <c:v>49.492999999999995</c:v>
                </c:pt>
                <c:pt idx="7">
                  <c:v>91.492999999999995</c:v>
                </c:pt>
                <c:pt idx="8">
                  <c:v>92.822999999999993</c:v>
                </c:pt>
                <c:pt idx="9">
                  <c:v>95.652999999999992</c:v>
                </c:pt>
                <c:pt idx="10">
                  <c:v>106.32299999999999</c:v>
                </c:pt>
                <c:pt idx="11">
                  <c:v>114.65299999999999</c:v>
                </c:pt>
                <c:pt idx="12">
                  <c:v>117.82299999999999</c:v>
                </c:pt>
                <c:pt idx="13">
                  <c:v>126.15299999999999</c:v>
                </c:pt>
                <c:pt idx="14">
                  <c:v>157.98599999999999</c:v>
                </c:pt>
                <c:pt idx="15">
                  <c:v>167.48599999999999</c:v>
                </c:pt>
                <c:pt idx="16">
                  <c:v>188.73599999999999</c:v>
                </c:pt>
                <c:pt idx="17">
                  <c:v>191.316</c:v>
                </c:pt>
                <c:pt idx="18">
                  <c:v>219.48269999999999</c:v>
                </c:pt>
                <c:pt idx="19">
                  <c:v>235.48269999999999</c:v>
                </c:pt>
                <c:pt idx="20">
                  <c:v>249.23269999999999</c:v>
                </c:pt>
                <c:pt idx="21">
                  <c:v>259.06270000000001</c:v>
                </c:pt>
                <c:pt idx="22">
                  <c:v>317.48270000000002</c:v>
                </c:pt>
                <c:pt idx="23">
                  <c:v>326.40270000000004</c:v>
                </c:pt>
                <c:pt idx="24">
                  <c:v>330.47270000000003</c:v>
                </c:pt>
                <c:pt idx="25">
                  <c:v>334.74270000000001</c:v>
                </c:pt>
                <c:pt idx="26">
                  <c:v>342.3227</c:v>
                </c:pt>
                <c:pt idx="27">
                  <c:v>350.65269999999998</c:v>
                </c:pt>
                <c:pt idx="28">
                  <c:v>366.15269999999998</c:v>
                </c:pt>
                <c:pt idx="29">
                  <c:v>378.3227</c:v>
                </c:pt>
                <c:pt idx="30">
                  <c:v>397.65269999999998</c:v>
                </c:pt>
                <c:pt idx="31">
                  <c:v>399.5727</c:v>
                </c:pt>
                <c:pt idx="32">
                  <c:v>403.49270000000001</c:v>
                </c:pt>
                <c:pt idx="33">
                  <c:v>408.0727</c:v>
                </c:pt>
                <c:pt idx="34">
                  <c:v>422.65269999999998</c:v>
                </c:pt>
                <c:pt idx="35">
                  <c:v>426.3227</c:v>
                </c:pt>
                <c:pt idx="36">
                  <c:v>448.48939999999999</c:v>
                </c:pt>
                <c:pt idx="37">
                  <c:v>456.73939999999999</c:v>
                </c:pt>
                <c:pt idx="38">
                  <c:v>487.56939999999997</c:v>
                </c:pt>
                <c:pt idx="39">
                  <c:v>489.73939999999999</c:v>
                </c:pt>
                <c:pt idx="40">
                  <c:v>506.23939999999999</c:v>
                </c:pt>
                <c:pt idx="41">
                  <c:v>511.23939999999999</c:v>
                </c:pt>
                <c:pt idx="42">
                  <c:v>519.73939999999993</c:v>
                </c:pt>
                <c:pt idx="43">
                  <c:v>545.40939999999989</c:v>
                </c:pt>
                <c:pt idx="44">
                  <c:v>554.98939999999993</c:v>
                </c:pt>
                <c:pt idx="45">
                  <c:v>659.82269999999994</c:v>
                </c:pt>
              </c:numCache>
            </c:numRef>
          </c:cat>
          <c:val>
            <c:numRef>
              <c:f>'MV Susanne Theresa'!$B$7:$AU$7</c:f>
              <c:numCache>
                <c:formatCode>General</c:formatCode>
                <c:ptCount val="46"/>
                <c:pt idx="0">
                  <c:v>63.110329999999998</c:v>
                </c:pt>
                <c:pt idx="1">
                  <c:v>63.110329999999998</c:v>
                </c:pt>
                <c:pt idx="2">
                  <c:v>63.088909999999998</c:v>
                </c:pt>
                <c:pt idx="3">
                  <c:v>63.088909999999998</c:v>
                </c:pt>
                <c:pt idx="4">
                  <c:v>61.602170000000001</c:v>
                </c:pt>
                <c:pt idx="5">
                  <c:v>61.602170000000001</c:v>
                </c:pt>
                <c:pt idx="6">
                  <c:v>60.403860000000002</c:v>
                </c:pt>
                <c:pt idx="7">
                  <c:v>60.403860000000002</c:v>
                </c:pt>
                <c:pt idx="8">
                  <c:v>60.391669999999998</c:v>
                </c:pt>
                <c:pt idx="9">
                  <c:v>60.391669999999998</c:v>
                </c:pt>
                <c:pt idx="10">
                  <c:v>58.995069999999998</c:v>
                </c:pt>
                <c:pt idx="11">
                  <c:v>58.995069999999998</c:v>
                </c:pt>
                <c:pt idx="12">
                  <c:v>58.921900000000001</c:v>
                </c:pt>
                <c:pt idx="13">
                  <c:v>58.921900000000001</c:v>
                </c:pt>
                <c:pt idx="14">
                  <c:v>55.476460000000003</c:v>
                </c:pt>
                <c:pt idx="15">
                  <c:v>55.476460000000003</c:v>
                </c:pt>
                <c:pt idx="16">
                  <c:v>53.359400000000001</c:v>
                </c:pt>
                <c:pt idx="17">
                  <c:v>53.359400000000001</c:v>
                </c:pt>
                <c:pt idx="18">
                  <c:v>51.219439999999999</c:v>
                </c:pt>
                <c:pt idx="19">
                  <c:v>51.219439999999999</c:v>
                </c:pt>
                <c:pt idx="20">
                  <c:v>51.934730000000002</c:v>
                </c:pt>
                <c:pt idx="21">
                  <c:v>51.934730000000002</c:v>
                </c:pt>
                <c:pt idx="22">
                  <c:v>60.403860000000002</c:v>
                </c:pt>
                <c:pt idx="23">
                  <c:v>60.403860000000002</c:v>
                </c:pt>
                <c:pt idx="24">
                  <c:v>60.997669999999999</c:v>
                </c:pt>
                <c:pt idx="25">
                  <c:v>60.997669999999999</c:v>
                </c:pt>
                <c:pt idx="26">
                  <c:v>61.602170000000001</c:v>
                </c:pt>
                <c:pt idx="27">
                  <c:v>61.602170000000001</c:v>
                </c:pt>
                <c:pt idx="28">
                  <c:v>63.110329999999998</c:v>
                </c:pt>
                <c:pt idx="29">
                  <c:v>63.110329999999998</c:v>
                </c:pt>
                <c:pt idx="30">
                  <c:v>60.811279999999996</c:v>
                </c:pt>
                <c:pt idx="31">
                  <c:v>60.811279999999996</c:v>
                </c:pt>
                <c:pt idx="32">
                  <c:v>60.403860000000002</c:v>
                </c:pt>
                <c:pt idx="33">
                  <c:v>60.403860000000002</c:v>
                </c:pt>
                <c:pt idx="34">
                  <c:v>58.995069999999998</c:v>
                </c:pt>
                <c:pt idx="35">
                  <c:v>58.995069999999998</c:v>
                </c:pt>
                <c:pt idx="36">
                  <c:v>59.138550000000002</c:v>
                </c:pt>
                <c:pt idx="37">
                  <c:v>59.138550000000002</c:v>
                </c:pt>
                <c:pt idx="38">
                  <c:v>58.921900000000001</c:v>
                </c:pt>
                <c:pt idx="39">
                  <c:v>58.921900000000001</c:v>
                </c:pt>
                <c:pt idx="40">
                  <c:v>60.403860000000002</c:v>
                </c:pt>
                <c:pt idx="41">
                  <c:v>60.403860000000002</c:v>
                </c:pt>
                <c:pt idx="42">
                  <c:v>61.602170000000001</c:v>
                </c:pt>
                <c:pt idx="43">
                  <c:v>61.602170000000001</c:v>
                </c:pt>
                <c:pt idx="44">
                  <c:v>60.403860000000002</c:v>
                </c:pt>
                <c:pt idx="45">
                  <c:v>60.403860000000002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18872"/>
        <c:axId val="31250378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Tid+'Susanne Theresa'!$A$4:$AT$4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'MV Susanne Theresa'!$B$6:$AU$6</c15:sqref>
                        </c15:formulaRef>
                      </c:ext>
                    </c:extLst>
                    <c:numCache>
                      <c:formatCode>0.00</c:formatCode>
                      <c:ptCount val="46"/>
                      <c:pt idx="0">
                        <c:v>0</c:v>
                      </c:pt>
                      <c:pt idx="1">
                        <c:v>11.58</c:v>
                      </c:pt>
                      <c:pt idx="2">
                        <c:v>12.33</c:v>
                      </c:pt>
                      <c:pt idx="3">
                        <c:v>16.579999999999998</c:v>
                      </c:pt>
                      <c:pt idx="4">
                        <c:v>35.83</c:v>
                      </c:pt>
                      <c:pt idx="5">
                        <c:v>38.659999999999997</c:v>
                      </c:pt>
                      <c:pt idx="6">
                        <c:v>49.492999999999995</c:v>
                      </c:pt>
                      <c:pt idx="7">
                        <c:v>91.492999999999995</c:v>
                      </c:pt>
                      <c:pt idx="8">
                        <c:v>92.822999999999993</c:v>
                      </c:pt>
                      <c:pt idx="9">
                        <c:v>95.652999999999992</c:v>
                      </c:pt>
                      <c:pt idx="10">
                        <c:v>106.32299999999999</c:v>
                      </c:pt>
                      <c:pt idx="11">
                        <c:v>114.65299999999999</c:v>
                      </c:pt>
                      <c:pt idx="12">
                        <c:v>117.82299999999999</c:v>
                      </c:pt>
                      <c:pt idx="13">
                        <c:v>126.15299999999999</c:v>
                      </c:pt>
                      <c:pt idx="14">
                        <c:v>157.98599999999999</c:v>
                      </c:pt>
                      <c:pt idx="15">
                        <c:v>167.48599999999999</c:v>
                      </c:pt>
                      <c:pt idx="16">
                        <c:v>188.73599999999999</c:v>
                      </c:pt>
                      <c:pt idx="17">
                        <c:v>191.316</c:v>
                      </c:pt>
                      <c:pt idx="18">
                        <c:v>219.48269999999999</c:v>
                      </c:pt>
                      <c:pt idx="19">
                        <c:v>235.48269999999999</c:v>
                      </c:pt>
                      <c:pt idx="20">
                        <c:v>249.23269999999999</c:v>
                      </c:pt>
                      <c:pt idx="21">
                        <c:v>259.06270000000001</c:v>
                      </c:pt>
                      <c:pt idx="22">
                        <c:v>317.48270000000002</c:v>
                      </c:pt>
                      <c:pt idx="23">
                        <c:v>326.40270000000004</c:v>
                      </c:pt>
                      <c:pt idx="24">
                        <c:v>330.47270000000003</c:v>
                      </c:pt>
                      <c:pt idx="25">
                        <c:v>334.74270000000001</c:v>
                      </c:pt>
                      <c:pt idx="26">
                        <c:v>342.3227</c:v>
                      </c:pt>
                      <c:pt idx="27">
                        <c:v>350.65269999999998</c:v>
                      </c:pt>
                      <c:pt idx="28">
                        <c:v>366.15269999999998</c:v>
                      </c:pt>
                      <c:pt idx="29">
                        <c:v>378.3227</c:v>
                      </c:pt>
                      <c:pt idx="30">
                        <c:v>397.65269999999998</c:v>
                      </c:pt>
                      <c:pt idx="31">
                        <c:v>399.5727</c:v>
                      </c:pt>
                      <c:pt idx="32">
                        <c:v>403.49270000000001</c:v>
                      </c:pt>
                      <c:pt idx="33">
                        <c:v>408.0727</c:v>
                      </c:pt>
                      <c:pt idx="34">
                        <c:v>422.65269999999998</c:v>
                      </c:pt>
                      <c:pt idx="35">
                        <c:v>426.3227</c:v>
                      </c:pt>
                      <c:pt idx="36">
                        <c:v>448.48939999999999</c:v>
                      </c:pt>
                      <c:pt idx="37">
                        <c:v>456.73939999999999</c:v>
                      </c:pt>
                      <c:pt idx="38">
                        <c:v>487.56939999999997</c:v>
                      </c:pt>
                      <c:pt idx="39">
                        <c:v>489.73939999999999</c:v>
                      </c:pt>
                      <c:pt idx="40">
                        <c:v>506.23939999999999</c:v>
                      </c:pt>
                      <c:pt idx="41">
                        <c:v>511.23939999999999</c:v>
                      </c:pt>
                      <c:pt idx="42">
                        <c:v>519.73939999999993</c:v>
                      </c:pt>
                      <c:pt idx="43">
                        <c:v>545.40939999999989</c:v>
                      </c:pt>
                      <c:pt idx="44">
                        <c:v>554.98939999999993</c:v>
                      </c:pt>
                      <c:pt idx="45">
                        <c:v>659.82269999999994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</c15:ser>
            </c15:filteredLineSeries>
          </c:ext>
        </c:extLst>
      </c:lineChart>
      <c:catAx>
        <c:axId val="826188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12503784"/>
        <c:crosses val="autoZero"/>
        <c:auto val="1"/>
        <c:lblAlgn val="ctr"/>
        <c:lblOffset val="100"/>
        <c:noMultiLvlLbl val="0"/>
      </c:catAx>
      <c:valAx>
        <c:axId val="312503784"/>
        <c:scaling>
          <c:orientation val="minMax"/>
          <c:min val="49"/>
        </c:scaling>
        <c:delete val="1"/>
        <c:axPos val="l"/>
        <c:numFmt formatCode="General" sourceLinked="1"/>
        <c:majorTickMark val="none"/>
        <c:minorTickMark val="none"/>
        <c:tickLblPos val="nextTo"/>
        <c:crossAx val="8261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Susanne Theresa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"/>
              <c:pt idx="0">
                <c:v>Utnyttet grad</c:v>
              </c:pt>
            </c:strLit>
          </c:cat>
          <c:val>
            <c:numRef>
              <c:f>'MV Susanne Theresa'!$B$54:$B$55</c:f>
              <c:numCache>
                <c:formatCode>0%</c:formatCode>
                <c:ptCount val="2"/>
                <c:pt idx="0">
                  <c:v>0.27498947403285628</c:v>
                </c:pt>
                <c:pt idx="1">
                  <c:v>0.72501052596714377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Susanne Theresa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'MV Susanne Theresa'!$A$90:$A$91</c:f>
              <c:strCache>
                <c:ptCount val="2"/>
                <c:pt idx="0">
                  <c:v>Tid ved kai</c:v>
                </c:pt>
                <c:pt idx="1">
                  <c:v>Tid på sjø</c:v>
                </c:pt>
              </c:strCache>
            </c:strRef>
          </c:cat>
          <c:val>
            <c:numRef>
              <c:f>'MV Susanne Theresa'!$B$90:$B$91</c:f>
              <c:numCache>
                <c:formatCode>0%</c:formatCode>
                <c:ptCount val="2"/>
                <c:pt idx="0">
                  <c:v>0.4220123576784226</c:v>
                </c:pt>
                <c:pt idx="1">
                  <c:v>0.5779876423215774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MV Susanne Theresa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'MV Susanne Theresa'!$A$114:$A$116</c:f>
              <c:strCache>
                <c:ptCount val="3"/>
                <c:pt idx="0">
                  <c:v>Bulkoperasjon</c:v>
                </c:pt>
                <c:pt idx="1">
                  <c:v>Tankvask</c:v>
                </c:pt>
                <c:pt idx="2">
                  <c:v>Annet</c:v>
                </c:pt>
              </c:strCache>
            </c:strRef>
          </c:cat>
          <c:val>
            <c:numRef>
              <c:f>'MV Susanne Theresa'!$B$114:$B$116</c:f>
              <c:numCache>
                <c:formatCode>0%</c:formatCode>
                <c:ptCount val="3"/>
                <c:pt idx="0">
                  <c:v>0.29606254727599779</c:v>
                </c:pt>
                <c:pt idx="1">
                  <c:v>0.4225160586220727</c:v>
                </c:pt>
                <c:pt idx="2">
                  <c:v>0.28142139410192957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'MV Lelie'!$L$6:$AS$6</c:f>
              <c:numCache>
                <c:formatCode>0.00</c:formatCode>
                <c:ptCount val="34"/>
                <c:pt idx="0">
                  <c:v>779.05</c:v>
                </c:pt>
                <c:pt idx="1">
                  <c:v>782.02</c:v>
                </c:pt>
                <c:pt idx="2">
                  <c:v>783.05</c:v>
                </c:pt>
                <c:pt idx="3">
                  <c:v>799.34999999999991</c:v>
                </c:pt>
                <c:pt idx="4">
                  <c:v>812.43</c:v>
                </c:pt>
                <c:pt idx="5">
                  <c:v>827.06</c:v>
                </c:pt>
                <c:pt idx="6">
                  <c:v>833.01</c:v>
                </c:pt>
                <c:pt idx="7">
                  <c:v>859.21</c:v>
                </c:pt>
                <c:pt idx="8">
                  <c:v>877.28000000000009</c:v>
                </c:pt>
                <c:pt idx="9">
                  <c:v>886.71</c:v>
                </c:pt>
                <c:pt idx="10">
                  <c:v>927.73</c:v>
                </c:pt>
                <c:pt idx="11">
                  <c:v>968.73</c:v>
                </c:pt>
                <c:pt idx="12">
                  <c:v>973.73</c:v>
                </c:pt>
                <c:pt idx="13">
                  <c:v>998.98</c:v>
                </c:pt>
                <c:pt idx="14">
                  <c:v>1016.73</c:v>
                </c:pt>
                <c:pt idx="15">
                  <c:v>1045.45</c:v>
                </c:pt>
                <c:pt idx="16">
                  <c:v>1085.18</c:v>
                </c:pt>
                <c:pt idx="17">
                  <c:v>1112.93</c:v>
                </c:pt>
                <c:pt idx="18">
                  <c:v>1114.01</c:v>
                </c:pt>
                <c:pt idx="19">
                  <c:v>1118.0899999999999</c:v>
                </c:pt>
                <c:pt idx="20">
                  <c:v>1157.9199999999998</c:v>
                </c:pt>
                <c:pt idx="21">
                  <c:v>1181.0899999999999</c:v>
                </c:pt>
                <c:pt idx="22">
                  <c:v>1206.3399999999999</c:v>
                </c:pt>
                <c:pt idx="23">
                  <c:v>1214.6099999999999</c:v>
                </c:pt>
                <c:pt idx="24">
                  <c:v>1239.8599999999999</c:v>
                </c:pt>
                <c:pt idx="25">
                  <c:v>1240.1299999999999</c:v>
                </c:pt>
                <c:pt idx="26">
                  <c:v>1252.28</c:v>
                </c:pt>
                <c:pt idx="27">
                  <c:v>1260.55</c:v>
                </c:pt>
                <c:pt idx="28">
                  <c:v>1280.8799999999999</c:v>
                </c:pt>
                <c:pt idx="29">
                  <c:v>1299.4999999999998</c:v>
                </c:pt>
                <c:pt idx="30">
                  <c:v>1323.0999999999997</c:v>
                </c:pt>
                <c:pt idx="31">
                  <c:v>1386.4799999999998</c:v>
                </c:pt>
                <c:pt idx="32">
                  <c:v>1491.0099999999998</c:v>
                </c:pt>
                <c:pt idx="33">
                  <c:v>1527.6899999999998</c:v>
                </c:pt>
              </c:numCache>
            </c:numRef>
          </c:cat>
          <c:val>
            <c:numRef>
              <c:f>'MV Lelie'!$L$7:$AS$7</c:f>
              <c:numCache>
                <c:formatCode>General</c:formatCode>
                <c:ptCount val="34"/>
                <c:pt idx="0">
                  <c:v>58.995069999999998</c:v>
                </c:pt>
                <c:pt idx="1">
                  <c:v>58.995069999999998</c:v>
                </c:pt>
                <c:pt idx="2">
                  <c:v>58.921900000000001</c:v>
                </c:pt>
                <c:pt idx="3">
                  <c:v>58.921900000000001</c:v>
                </c:pt>
                <c:pt idx="4">
                  <c:v>60.811279999999996</c:v>
                </c:pt>
                <c:pt idx="5">
                  <c:v>60.811279999999996</c:v>
                </c:pt>
                <c:pt idx="6">
                  <c:v>61.602170000000001</c:v>
                </c:pt>
                <c:pt idx="7">
                  <c:v>61.602170000000001</c:v>
                </c:pt>
                <c:pt idx="8">
                  <c:v>58.921900000000001</c:v>
                </c:pt>
                <c:pt idx="9">
                  <c:v>58.921900000000001</c:v>
                </c:pt>
                <c:pt idx="10">
                  <c:v>52.456949999999999</c:v>
                </c:pt>
                <c:pt idx="11">
                  <c:v>52.456949999999999</c:v>
                </c:pt>
                <c:pt idx="12">
                  <c:v>55.476460000000003</c:v>
                </c:pt>
                <c:pt idx="13">
                  <c:v>55.476460000000003</c:v>
                </c:pt>
                <c:pt idx="14">
                  <c:v>53.539580000000001</c:v>
                </c:pt>
                <c:pt idx="15">
                  <c:v>53.539580000000001</c:v>
                </c:pt>
                <c:pt idx="16">
                  <c:v>58.921900000000001</c:v>
                </c:pt>
                <c:pt idx="17">
                  <c:v>58.921900000000001</c:v>
                </c:pt>
                <c:pt idx="18">
                  <c:v>58.995069999999998</c:v>
                </c:pt>
                <c:pt idx="19">
                  <c:v>58.995069999999998</c:v>
                </c:pt>
                <c:pt idx="20">
                  <c:v>52.456949999999999</c:v>
                </c:pt>
                <c:pt idx="21">
                  <c:v>52.456949999999999</c:v>
                </c:pt>
                <c:pt idx="22">
                  <c:v>55.476460000000003</c:v>
                </c:pt>
                <c:pt idx="23">
                  <c:v>55.476460000000003</c:v>
                </c:pt>
                <c:pt idx="24">
                  <c:v>59.413580000000003</c:v>
                </c:pt>
                <c:pt idx="25">
                  <c:v>59.413580000000003</c:v>
                </c:pt>
                <c:pt idx="26">
                  <c:v>60.811279999999996</c:v>
                </c:pt>
                <c:pt idx="27">
                  <c:v>60.811279999999996</c:v>
                </c:pt>
                <c:pt idx="28">
                  <c:v>63.110329999999998</c:v>
                </c:pt>
                <c:pt idx="29">
                  <c:v>63.110329999999998</c:v>
                </c:pt>
                <c:pt idx="30">
                  <c:v>66.021550000000005</c:v>
                </c:pt>
                <c:pt idx="31">
                  <c:v>66.021550000000005</c:v>
                </c:pt>
                <c:pt idx="32">
                  <c:v>52.456949999999999</c:v>
                </c:pt>
                <c:pt idx="33">
                  <c:v>52.456949999999999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899360"/>
        <c:axId val="35690041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'MV Lelie'!$L$6:$AS$6</c15:sqref>
                        </c15:formulaRef>
                      </c:ext>
                    </c:extLst>
                    <c:strCache>
                      <c:ptCount val="34"/>
                      <c:pt idx="0">
                        <c:v>779,05</c:v>
                      </c:pt>
                      <c:pt idx="1">
                        <c:v>782,02</c:v>
                      </c:pt>
                      <c:pt idx="2">
                        <c:v>783,05</c:v>
                      </c:pt>
                      <c:pt idx="3">
                        <c:v>799,35</c:v>
                      </c:pt>
                      <c:pt idx="4">
                        <c:v>812,43</c:v>
                      </c:pt>
                      <c:pt idx="5">
                        <c:v>827,06</c:v>
                      </c:pt>
                      <c:pt idx="6">
                        <c:v>833,01</c:v>
                      </c:pt>
                      <c:pt idx="7">
                        <c:v>859,21</c:v>
                      </c:pt>
                      <c:pt idx="8">
                        <c:v>877,28</c:v>
                      </c:pt>
                      <c:pt idx="9">
                        <c:v>886,71</c:v>
                      </c:pt>
                      <c:pt idx="10">
                        <c:v>927,73</c:v>
                      </c:pt>
                      <c:pt idx="11">
                        <c:v>968,73</c:v>
                      </c:pt>
                      <c:pt idx="12">
                        <c:v>973,73</c:v>
                      </c:pt>
                      <c:pt idx="13">
                        <c:v>998,98</c:v>
                      </c:pt>
                      <c:pt idx="14">
                        <c:v>1016,73</c:v>
                      </c:pt>
                      <c:pt idx="15">
                        <c:v>1045,45</c:v>
                      </c:pt>
                      <c:pt idx="16">
                        <c:v>1085,18</c:v>
                      </c:pt>
                      <c:pt idx="17">
                        <c:v>1112,93</c:v>
                      </c:pt>
                      <c:pt idx="18">
                        <c:v>1114,01</c:v>
                      </c:pt>
                      <c:pt idx="19">
                        <c:v>1118,09</c:v>
                      </c:pt>
                      <c:pt idx="20">
                        <c:v>1157,92</c:v>
                      </c:pt>
                      <c:pt idx="21">
                        <c:v>1181,09</c:v>
                      </c:pt>
                      <c:pt idx="22">
                        <c:v>1206,34</c:v>
                      </c:pt>
                      <c:pt idx="23">
                        <c:v>1214,61</c:v>
                      </c:pt>
                      <c:pt idx="24">
                        <c:v>1239,86</c:v>
                      </c:pt>
                      <c:pt idx="25">
                        <c:v>1240,13</c:v>
                      </c:pt>
                      <c:pt idx="26">
                        <c:v>1252,28</c:v>
                      </c:pt>
                      <c:pt idx="27">
                        <c:v>1260,55</c:v>
                      </c:pt>
                      <c:pt idx="28">
                        <c:v>1280,88</c:v>
                      </c:pt>
                      <c:pt idx="29">
                        <c:v>1299,50</c:v>
                      </c:pt>
                      <c:pt idx="30">
                        <c:v>1323,10</c:v>
                      </c:pt>
                      <c:pt idx="31">
                        <c:v>1386,48</c:v>
                      </c:pt>
                      <c:pt idx="32">
                        <c:v>1491,01</c:v>
                      </c:pt>
                      <c:pt idx="33">
                        <c:v>1527,69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'MV Lelie'!$L$6:$AS$6</c15:sqref>
                        </c15:formulaRef>
                      </c:ext>
                    </c:extLst>
                    <c:numCache>
                      <c:formatCode>0.00</c:formatCode>
                      <c:ptCount val="34"/>
                      <c:pt idx="0">
                        <c:v>779.05</c:v>
                      </c:pt>
                      <c:pt idx="1">
                        <c:v>782.02</c:v>
                      </c:pt>
                      <c:pt idx="2">
                        <c:v>783.05</c:v>
                      </c:pt>
                      <c:pt idx="3">
                        <c:v>799.34999999999991</c:v>
                      </c:pt>
                      <c:pt idx="4">
                        <c:v>812.43</c:v>
                      </c:pt>
                      <c:pt idx="5">
                        <c:v>827.06</c:v>
                      </c:pt>
                      <c:pt idx="6">
                        <c:v>833.01</c:v>
                      </c:pt>
                      <c:pt idx="7">
                        <c:v>859.21</c:v>
                      </c:pt>
                      <c:pt idx="8">
                        <c:v>877.28000000000009</c:v>
                      </c:pt>
                      <c:pt idx="9">
                        <c:v>886.71</c:v>
                      </c:pt>
                      <c:pt idx="10">
                        <c:v>927.73</c:v>
                      </c:pt>
                      <c:pt idx="11">
                        <c:v>968.73</c:v>
                      </c:pt>
                      <c:pt idx="12">
                        <c:v>973.73</c:v>
                      </c:pt>
                      <c:pt idx="13">
                        <c:v>998.98</c:v>
                      </c:pt>
                      <c:pt idx="14">
                        <c:v>1016.73</c:v>
                      </c:pt>
                      <c:pt idx="15">
                        <c:v>1045.45</c:v>
                      </c:pt>
                      <c:pt idx="16">
                        <c:v>1085.18</c:v>
                      </c:pt>
                      <c:pt idx="17">
                        <c:v>1112.93</c:v>
                      </c:pt>
                      <c:pt idx="18">
                        <c:v>1114.01</c:v>
                      </c:pt>
                      <c:pt idx="19">
                        <c:v>1118.0899999999999</c:v>
                      </c:pt>
                      <c:pt idx="20">
                        <c:v>1157.9199999999998</c:v>
                      </c:pt>
                      <c:pt idx="21">
                        <c:v>1181.0899999999999</c:v>
                      </c:pt>
                      <c:pt idx="22">
                        <c:v>1206.3399999999999</c:v>
                      </c:pt>
                      <c:pt idx="23">
                        <c:v>1214.6099999999999</c:v>
                      </c:pt>
                      <c:pt idx="24">
                        <c:v>1239.8599999999999</c:v>
                      </c:pt>
                      <c:pt idx="25">
                        <c:v>1240.1299999999999</c:v>
                      </c:pt>
                      <c:pt idx="26">
                        <c:v>1252.28</c:v>
                      </c:pt>
                      <c:pt idx="27">
                        <c:v>1260.55</c:v>
                      </c:pt>
                      <c:pt idx="28">
                        <c:v>1280.8799999999999</c:v>
                      </c:pt>
                      <c:pt idx="29">
                        <c:v>1299.4999999999998</c:v>
                      </c:pt>
                      <c:pt idx="30">
                        <c:v>1323.0999999999997</c:v>
                      </c:pt>
                      <c:pt idx="31">
                        <c:v>1386.4799999999998</c:v>
                      </c:pt>
                      <c:pt idx="32">
                        <c:v>1491.0099999999998</c:v>
                      </c:pt>
                      <c:pt idx="33">
                        <c:v>1527.6899999999998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</c15:ser>
            </c15:filteredLineSeries>
          </c:ext>
        </c:extLst>
      </c:lineChart>
      <c:catAx>
        <c:axId val="35689936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56900416"/>
        <c:crosses val="autoZero"/>
        <c:auto val="1"/>
        <c:lblAlgn val="ctr"/>
        <c:lblOffset val="100"/>
        <c:noMultiLvlLbl val="0"/>
      </c:catAx>
      <c:valAx>
        <c:axId val="356900416"/>
        <c:scaling>
          <c:orientation val="minMax"/>
          <c:min val="51"/>
        </c:scaling>
        <c:delete val="1"/>
        <c:axPos val="l"/>
        <c:numFmt formatCode="General" sourceLinked="1"/>
        <c:majorTickMark val="none"/>
        <c:minorTickMark val="none"/>
        <c:tickLblPos val="nextTo"/>
        <c:crossAx val="35689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10</xdr:row>
      <xdr:rowOff>162270</xdr:rowOff>
    </xdr:from>
    <xdr:to>
      <xdr:col>12</xdr:col>
      <xdr:colOff>86590</xdr:colOff>
      <xdr:row>27</xdr:row>
      <xdr:rowOff>148935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30715</xdr:colOff>
      <xdr:row>58</xdr:row>
      <xdr:rowOff>49544</xdr:rowOff>
    </xdr:from>
    <xdr:to>
      <xdr:col>6</xdr:col>
      <xdr:colOff>158264</xdr:colOff>
      <xdr:row>70</xdr:row>
      <xdr:rowOff>75507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136070</xdr:colOff>
      <xdr:row>91</xdr:row>
      <xdr:rowOff>71193</xdr:rowOff>
    </xdr:from>
    <xdr:to>
      <xdr:col>6</xdr:col>
      <xdr:colOff>380999</xdr:colOff>
      <xdr:row>105</xdr:row>
      <xdr:rowOff>101361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286798</xdr:colOff>
      <xdr:row>115</xdr:row>
      <xdr:rowOff>167640</xdr:rowOff>
    </xdr:from>
    <xdr:to>
      <xdr:col>8</xdr:col>
      <xdr:colOff>487333</xdr:colOff>
      <xdr:row>132</xdr:row>
      <xdr:rowOff>70979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391757</xdr:colOff>
      <xdr:row>11</xdr:row>
      <xdr:rowOff>49754</xdr:rowOff>
    </xdr:from>
    <xdr:to>
      <xdr:col>10</xdr:col>
      <xdr:colOff>230392</xdr:colOff>
      <xdr:row>26</xdr:row>
      <xdr:rowOff>103542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51094</xdr:colOff>
      <xdr:row>54</xdr:row>
      <xdr:rowOff>169899</xdr:rowOff>
    </xdr:from>
    <xdr:to>
      <xdr:col>7</xdr:col>
      <xdr:colOff>42455</xdr:colOff>
      <xdr:row>67</xdr:row>
      <xdr:rowOff>22860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449580</xdr:colOff>
      <xdr:row>87</xdr:row>
      <xdr:rowOff>207108</xdr:rowOff>
    </xdr:from>
    <xdr:to>
      <xdr:col>6</xdr:col>
      <xdr:colOff>640080</xdr:colOff>
      <xdr:row>101</xdr:row>
      <xdr:rowOff>123147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260220</xdr:colOff>
      <xdr:row>110</xdr:row>
      <xdr:rowOff>30480</xdr:rowOff>
    </xdr:from>
    <xdr:to>
      <xdr:col>9</xdr:col>
      <xdr:colOff>155667</xdr:colOff>
      <xdr:row>125</xdr:row>
      <xdr:rowOff>160020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389068</xdr:colOff>
      <xdr:row>9</xdr:row>
      <xdr:rowOff>82669</xdr:rowOff>
    </xdr:from>
    <xdr:to>
      <xdr:col>18</xdr:col>
      <xdr:colOff>198888</xdr:colOff>
      <xdr:row>23</xdr:row>
      <xdr:rowOff>99060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628874</xdr:colOff>
      <xdr:row>10</xdr:row>
      <xdr:rowOff>1344</xdr:rowOff>
    </xdr:from>
    <xdr:to>
      <xdr:col>11</xdr:col>
      <xdr:colOff>467510</xdr:colOff>
      <xdr:row>24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314012</xdr:colOff>
      <xdr:row>42</xdr:row>
      <xdr:rowOff>62753</xdr:rowOff>
    </xdr:from>
    <xdr:to>
      <xdr:col>8</xdr:col>
      <xdr:colOff>501575</xdr:colOff>
      <xdr:row>57</xdr:row>
      <xdr:rowOff>145342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410189</xdr:colOff>
      <xdr:row>76</xdr:row>
      <xdr:rowOff>50709</xdr:rowOff>
    </xdr:from>
    <xdr:to>
      <xdr:col>7</xdr:col>
      <xdr:colOff>118782</xdr:colOff>
      <xdr:row>91</xdr:row>
      <xdr:rowOff>17930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388619</xdr:colOff>
      <xdr:row>98</xdr:row>
      <xdr:rowOff>99508</xdr:rowOff>
    </xdr:from>
    <xdr:to>
      <xdr:col>7</xdr:col>
      <xdr:colOff>333935</xdr:colOff>
      <xdr:row>114</xdr:row>
      <xdr:rowOff>58936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389965</xdr:colOff>
      <xdr:row>135</xdr:row>
      <xdr:rowOff>51995</xdr:rowOff>
    </xdr:from>
    <xdr:to>
      <xdr:col>8</xdr:col>
      <xdr:colOff>207084</xdr:colOff>
      <xdr:row>150</xdr:row>
      <xdr:rowOff>114748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248653</xdr:colOff>
      <xdr:row>35</xdr:row>
      <xdr:rowOff>144780</xdr:rowOff>
    </xdr:from>
    <xdr:to>
      <xdr:col>8</xdr:col>
      <xdr:colOff>144780</xdr:colOff>
      <xdr:row>51</xdr:row>
      <xdr:rowOff>106680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608026</xdr:colOff>
      <xdr:row>68</xdr:row>
      <xdr:rowOff>149271</xdr:rowOff>
    </xdr:from>
    <xdr:to>
      <xdr:col>8</xdr:col>
      <xdr:colOff>152400</xdr:colOff>
      <xdr:row>82</xdr:row>
      <xdr:rowOff>160020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A191"/>
  <sheetViews>
    <sheetView tabSelected="1" zoomScaleNormal="100" workbookViewId="0"/>
  </sheetViews>
  <sheetFormatPr baseColWidth="10" defaultRowHeight="14.4" x14ac:dyDescent="0.3"/>
  <cols>
    <col min="1" max="1" width="30.109375" style="13" bestFit="1" customWidth="1"/>
    <col min="2" max="2" width="13.109375" bestFit="1" customWidth="1"/>
    <col min="3" max="3" width="13.21875" bestFit="1" customWidth="1"/>
  </cols>
  <sheetData>
    <row r="1" spans="1:79" x14ac:dyDescent="0.3">
      <c r="B1" s="1" t="s">
        <v>92</v>
      </c>
    </row>
    <row r="2" spans="1:79" ht="15" thickBot="1" x14ac:dyDescent="0.35">
      <c r="A2" s="18"/>
      <c r="B2" s="19" t="s">
        <v>93</v>
      </c>
      <c r="AN2" s="19" t="s">
        <v>94</v>
      </c>
    </row>
    <row r="3" spans="1:79" ht="18.600000000000001" thickBot="1" x14ac:dyDescent="0.4">
      <c r="A3" s="17" t="s">
        <v>33</v>
      </c>
    </row>
    <row r="5" spans="1:79" x14ac:dyDescent="0.3">
      <c r="A5" s="12" t="s">
        <v>25</v>
      </c>
      <c r="B5" t="s">
        <v>0</v>
      </c>
      <c r="C5" t="s">
        <v>0</v>
      </c>
      <c r="D5" t="s">
        <v>1</v>
      </c>
      <c r="E5" t="s">
        <v>1</v>
      </c>
      <c r="F5" t="s">
        <v>2</v>
      </c>
      <c r="G5" t="s">
        <v>2</v>
      </c>
      <c r="H5" t="s">
        <v>3</v>
      </c>
      <c r="I5" t="s">
        <v>3</v>
      </c>
      <c r="J5" t="s">
        <v>2</v>
      </c>
      <c r="K5" t="s">
        <v>2</v>
      </c>
      <c r="L5" t="s">
        <v>0</v>
      </c>
      <c r="M5" t="s">
        <v>0</v>
      </c>
      <c r="N5" t="s">
        <v>4</v>
      </c>
      <c r="O5" t="s">
        <v>4</v>
      </c>
      <c r="P5" t="s">
        <v>5</v>
      </c>
      <c r="Q5" t="s">
        <v>5</v>
      </c>
      <c r="R5" t="s">
        <v>0</v>
      </c>
      <c r="S5" t="s">
        <v>0</v>
      </c>
      <c r="T5" t="s">
        <v>6</v>
      </c>
      <c r="U5" t="s">
        <v>6</v>
      </c>
      <c r="V5" t="s">
        <v>7</v>
      </c>
      <c r="W5" t="s">
        <v>7</v>
      </c>
      <c r="X5" t="s">
        <v>2</v>
      </c>
      <c r="Y5" t="s">
        <v>2</v>
      </c>
      <c r="Z5" t="s">
        <v>0</v>
      </c>
      <c r="AA5" t="s">
        <v>0</v>
      </c>
      <c r="AB5" t="s">
        <v>1</v>
      </c>
      <c r="AC5" t="s">
        <v>1</v>
      </c>
      <c r="AD5" t="s">
        <v>8</v>
      </c>
      <c r="AE5" t="s">
        <v>8</v>
      </c>
      <c r="AF5" t="s">
        <v>4</v>
      </c>
      <c r="AG5" t="s">
        <v>4</v>
      </c>
      <c r="AH5" t="s">
        <v>5</v>
      </c>
      <c r="AI5" t="s">
        <v>5</v>
      </c>
      <c r="AJ5" t="s">
        <v>1</v>
      </c>
      <c r="AK5" t="s">
        <v>1</v>
      </c>
      <c r="AL5" t="s">
        <v>2</v>
      </c>
      <c r="AM5" t="s">
        <v>2</v>
      </c>
      <c r="AN5" t="s">
        <v>1</v>
      </c>
      <c r="AO5" t="s">
        <v>1</v>
      </c>
      <c r="AP5" t="s">
        <v>0</v>
      </c>
      <c r="AQ5" t="s">
        <v>0</v>
      </c>
      <c r="AR5" t="s">
        <v>2</v>
      </c>
      <c r="AS5" t="s">
        <v>2</v>
      </c>
      <c r="AT5" t="s">
        <v>0</v>
      </c>
      <c r="AU5" t="s">
        <v>0</v>
      </c>
      <c r="AV5" t="s">
        <v>1</v>
      </c>
      <c r="AW5" t="s">
        <v>1</v>
      </c>
      <c r="AX5" t="s">
        <v>4</v>
      </c>
      <c r="AY5" t="s">
        <v>4</v>
      </c>
      <c r="AZ5" t="s">
        <v>9</v>
      </c>
      <c r="BA5" t="s">
        <v>9</v>
      </c>
      <c r="BB5" t="s">
        <v>8</v>
      </c>
      <c r="BC5" t="s">
        <v>8</v>
      </c>
      <c r="BD5" t="s">
        <v>5</v>
      </c>
      <c r="BE5" t="s">
        <v>5</v>
      </c>
      <c r="BF5" t="s">
        <v>4</v>
      </c>
      <c r="BG5" t="s">
        <v>4</v>
      </c>
      <c r="BH5" t="s">
        <v>1</v>
      </c>
      <c r="BI5" t="s">
        <v>1</v>
      </c>
      <c r="BJ5" t="s">
        <v>8</v>
      </c>
      <c r="BK5" t="s">
        <v>8</v>
      </c>
      <c r="BL5" t="s">
        <v>7</v>
      </c>
      <c r="BM5" t="s">
        <v>7</v>
      </c>
      <c r="BN5" t="s">
        <v>10</v>
      </c>
      <c r="BO5" t="s">
        <v>10</v>
      </c>
      <c r="BP5" t="s">
        <v>9</v>
      </c>
      <c r="BQ5" t="s">
        <v>9</v>
      </c>
      <c r="BR5" t="s">
        <v>1</v>
      </c>
      <c r="BS5" t="s">
        <v>1</v>
      </c>
      <c r="BT5" t="s">
        <v>0</v>
      </c>
      <c r="BU5" t="s">
        <v>0</v>
      </c>
      <c r="BV5" t="s">
        <v>4</v>
      </c>
      <c r="BW5" t="s">
        <v>4</v>
      </c>
      <c r="BX5" t="s">
        <v>11</v>
      </c>
      <c r="BY5" t="s">
        <v>11</v>
      </c>
      <c r="BZ5" t="s">
        <v>4</v>
      </c>
      <c r="CA5" t="s">
        <v>4</v>
      </c>
    </row>
    <row r="6" spans="1:79" x14ac:dyDescent="0.3">
      <c r="A6" s="13" t="s">
        <v>26</v>
      </c>
      <c r="B6" s="2">
        <v>0</v>
      </c>
      <c r="C6" s="2">
        <v>1</v>
      </c>
      <c r="D6" s="2">
        <f>C6+2.25</f>
        <v>3.25</v>
      </c>
      <c r="E6" s="2">
        <f>D6+16.5</f>
        <v>19.75</v>
      </c>
      <c r="F6" s="2">
        <f>E6+0.25</f>
        <v>20</v>
      </c>
      <c r="G6" s="2">
        <f>F6+6</f>
        <v>26</v>
      </c>
      <c r="H6" s="2">
        <f>G6+15.91667</f>
        <v>41.916669999999996</v>
      </c>
      <c r="I6" s="2">
        <f>H6+10.33</f>
        <v>52.246669999999995</v>
      </c>
      <c r="J6" s="2">
        <f>I6+11</f>
        <v>63.246669999999995</v>
      </c>
      <c r="K6" s="2">
        <f>J6+17.5</f>
        <v>80.746669999999995</v>
      </c>
      <c r="L6" s="2">
        <f>K6+1</f>
        <v>81.746669999999995</v>
      </c>
      <c r="M6" s="2">
        <f>L6+13</f>
        <v>94.746669999999995</v>
      </c>
      <c r="N6" s="2">
        <f>M6+17</f>
        <v>111.74666999999999</v>
      </c>
      <c r="O6" s="2">
        <f>N6+5</f>
        <v>116.74666999999999</v>
      </c>
      <c r="P6" s="2">
        <f>O6+6.4</f>
        <v>123.14667</v>
      </c>
      <c r="Q6" s="2">
        <f>P6+6.33</f>
        <v>129.47667000000001</v>
      </c>
      <c r="R6" s="2">
        <f>Q6+21</f>
        <v>150.47667000000001</v>
      </c>
      <c r="S6" s="2">
        <f>R6+2.5</f>
        <v>152.97667000000001</v>
      </c>
      <c r="T6" s="2">
        <f>S6+3.55</f>
        <v>156.52667000000002</v>
      </c>
      <c r="U6" s="2">
        <f>T6+2.5</f>
        <v>159.02667000000002</v>
      </c>
      <c r="V6" s="2">
        <f>U6+28.8</f>
        <v>187.82667000000004</v>
      </c>
      <c r="W6" s="2">
        <f>V6+63.42</f>
        <v>251.24667000000005</v>
      </c>
      <c r="X6" s="2">
        <f>W6+35</f>
        <v>286.24667000000005</v>
      </c>
      <c r="Y6" s="2">
        <f>X6+14.42</f>
        <v>300.66667000000007</v>
      </c>
      <c r="Z6" s="2">
        <f>Y6+1.5</f>
        <v>302.16667000000007</v>
      </c>
      <c r="AA6" s="2">
        <f>Z6+8.92</f>
        <v>311.08667000000008</v>
      </c>
      <c r="AB6" s="2">
        <f>AA6+1.7</f>
        <v>312.78667000000007</v>
      </c>
      <c r="AC6" s="2">
        <f>AB6+28.17</f>
        <v>340.95667000000009</v>
      </c>
      <c r="AD6" s="2">
        <f>AC6+4.1</f>
        <v>345.05667000000011</v>
      </c>
      <c r="AE6" s="2">
        <f>AD6+2.83</f>
        <v>347.88667000000009</v>
      </c>
      <c r="AF6" s="2">
        <f>AE6+4</f>
        <v>351.88667000000009</v>
      </c>
      <c r="AG6" s="2">
        <f>AF6+11.5</f>
        <v>363.38667000000009</v>
      </c>
      <c r="AH6" s="2">
        <f>AG6+6</f>
        <v>369.38667000000009</v>
      </c>
      <c r="AI6" s="2">
        <f>AH6+3.42</f>
        <v>372.80667000000011</v>
      </c>
      <c r="AJ6" s="2">
        <f>AI6+19</f>
        <v>391.80667000000011</v>
      </c>
      <c r="AK6" s="2">
        <f>AJ6+0.67</f>
        <v>392.47667000000013</v>
      </c>
      <c r="AL6" s="2">
        <f>AK6+0.25</f>
        <v>392.72667000000013</v>
      </c>
      <c r="AM6" s="2">
        <f>AL6+3.25</f>
        <v>395.97667000000013</v>
      </c>
      <c r="AN6" s="2">
        <f>AM6+1.3</f>
        <v>397.27667000000014</v>
      </c>
      <c r="AO6" s="2">
        <f>AN6+5.33</f>
        <v>402.60667000000012</v>
      </c>
      <c r="AP6" s="2">
        <f>AO6+1.5</f>
        <v>404.10667000000012</v>
      </c>
      <c r="AQ6" s="2">
        <f>AP6+2</f>
        <v>406.10667000000012</v>
      </c>
      <c r="AR6" s="2">
        <f>AQ6+7.5</f>
        <v>413.60667000000012</v>
      </c>
      <c r="AS6" s="2">
        <f>AR6+2.25</f>
        <v>415.85667000000012</v>
      </c>
      <c r="AT6" s="2">
        <f>AS6+1.75</f>
        <v>417.60667000000012</v>
      </c>
      <c r="AU6" s="2">
        <f>AT6+2.5</f>
        <v>420.10667000000012</v>
      </c>
      <c r="AV6" s="2">
        <f>AU6+1.7</f>
        <v>421.80667000000011</v>
      </c>
      <c r="AW6" s="2">
        <f>AV6+8.25</f>
        <v>430.05667000000011</v>
      </c>
      <c r="AX6" s="2">
        <f>AW6+14.2</f>
        <v>444.2566700000001</v>
      </c>
      <c r="AY6" s="2">
        <f>AX6+12.92</f>
        <v>457.17667000000012</v>
      </c>
      <c r="AZ6" s="2">
        <f>AY6+4.5</f>
        <v>461.67667000000012</v>
      </c>
      <c r="BA6" s="2">
        <f>AZ6+2.42</f>
        <v>464.09667000000013</v>
      </c>
      <c r="BB6" s="2">
        <f>BA6+2</f>
        <v>466.09667000000013</v>
      </c>
      <c r="BC6" s="2">
        <f>BB6+4.33</f>
        <v>470.42667000000012</v>
      </c>
      <c r="BD6" s="2">
        <f>BC6+9</f>
        <v>479.42667000000012</v>
      </c>
      <c r="BE6" s="2">
        <f>BD6+5</f>
        <v>484.42667000000012</v>
      </c>
      <c r="BF6" s="2">
        <f>BE6+7</f>
        <v>491.42667000000012</v>
      </c>
      <c r="BG6" s="2">
        <f>BF6+2.5</f>
        <v>493.92667000000012</v>
      </c>
      <c r="BH6" s="2">
        <f>BG6+15.2</f>
        <v>509.1266700000001</v>
      </c>
      <c r="BI6" s="2">
        <f>BH6+23</f>
        <v>532.1266700000001</v>
      </c>
      <c r="BJ6" s="2">
        <f>BI6+29.2</f>
        <v>561.32667000000015</v>
      </c>
      <c r="BK6" s="2">
        <f>BJ6+29.25</f>
        <v>590.57667000000015</v>
      </c>
      <c r="BL6" s="2">
        <f>BK6+24.5</f>
        <v>615.07667000000015</v>
      </c>
      <c r="BM6" s="2">
        <f>BL6+5.33</f>
        <v>620.40667000000019</v>
      </c>
      <c r="BN6" s="2">
        <f>BM6+0.5</f>
        <v>620.90667000000019</v>
      </c>
      <c r="BO6" s="2">
        <f>BN6+5.75</f>
        <v>626.65667000000019</v>
      </c>
      <c r="BP6" s="2">
        <f>BO6+23.5</f>
        <v>650.15667000000019</v>
      </c>
      <c r="BQ6" s="2">
        <f>BP6+8.08</f>
        <v>658.23667000000023</v>
      </c>
      <c r="BR6" s="2">
        <f>11.5+BQ6</f>
        <v>669.73667000000023</v>
      </c>
      <c r="BS6" s="2">
        <f>BR6+5</f>
        <v>674.73667000000023</v>
      </c>
      <c r="BT6" s="2">
        <f>BS6+1.75</f>
        <v>676.48667000000023</v>
      </c>
      <c r="BU6" s="2">
        <f>BT6+8.62</f>
        <v>685.10667000000024</v>
      </c>
      <c r="BV6" s="2">
        <f>BU6+13.75</f>
        <v>698.85667000000024</v>
      </c>
      <c r="BW6" s="2">
        <f>BV6+8.58</f>
        <v>707.43667000000028</v>
      </c>
      <c r="BX6" s="2">
        <f>BW6+1.5</f>
        <v>708.93667000000028</v>
      </c>
      <c r="BY6" s="2">
        <f>BX6+4.75</f>
        <v>713.68667000000028</v>
      </c>
      <c r="BZ6" s="2">
        <f>BY6+3.65</f>
        <v>717.33667000000025</v>
      </c>
      <c r="CA6" s="2">
        <f>BZ6+18.1</f>
        <v>735.43667000000028</v>
      </c>
    </row>
    <row r="7" spans="1:79" x14ac:dyDescent="0.3">
      <c r="A7" s="13" t="s">
        <v>27</v>
      </c>
      <c r="B7">
        <f t="shared" ref="B7:AG7" si="0">VLOOKUP(B5,$B$13:$C$24,2,FALSE)</f>
        <v>58.995069999999998</v>
      </c>
      <c r="C7">
        <f t="shared" si="0"/>
        <v>58.995069999999998</v>
      </c>
      <c r="D7">
        <f t="shared" si="0"/>
        <v>58.921900000000001</v>
      </c>
      <c r="E7">
        <f t="shared" si="0"/>
        <v>58.921900000000001</v>
      </c>
      <c r="F7">
        <f t="shared" si="0"/>
        <v>58.934579999999997</v>
      </c>
      <c r="G7">
        <f t="shared" si="0"/>
        <v>58.934579999999997</v>
      </c>
      <c r="H7">
        <f t="shared" si="0"/>
        <v>60.373800000000003</v>
      </c>
      <c r="I7">
        <f t="shared" si="0"/>
        <v>60.373800000000003</v>
      </c>
      <c r="J7">
        <f t="shared" si="0"/>
        <v>58.934579999999997</v>
      </c>
      <c r="K7">
        <f t="shared" si="0"/>
        <v>58.934579999999997</v>
      </c>
      <c r="L7">
        <f t="shared" si="0"/>
        <v>58.995069999999998</v>
      </c>
      <c r="M7">
        <f t="shared" si="0"/>
        <v>58.995069999999998</v>
      </c>
      <c r="N7">
        <f t="shared" si="0"/>
        <v>60.811279999999996</v>
      </c>
      <c r="O7">
        <f t="shared" si="0"/>
        <v>60.811279999999996</v>
      </c>
      <c r="P7">
        <f t="shared" si="0"/>
        <v>61.602170000000001</v>
      </c>
      <c r="Q7">
        <f t="shared" si="0"/>
        <v>61.602170000000001</v>
      </c>
      <c r="R7">
        <f t="shared" si="0"/>
        <v>58.995069999999998</v>
      </c>
      <c r="S7">
        <f t="shared" si="0"/>
        <v>58.995069999999998</v>
      </c>
      <c r="T7">
        <f t="shared" si="0"/>
        <v>59.413499999999999</v>
      </c>
      <c r="U7">
        <f t="shared" si="0"/>
        <v>59.413499999999999</v>
      </c>
      <c r="V7">
        <f t="shared" si="0"/>
        <v>63.110329999999998</v>
      </c>
      <c r="W7">
        <f t="shared" si="0"/>
        <v>63.110329999999998</v>
      </c>
      <c r="X7">
        <f t="shared" si="0"/>
        <v>58.934579999999997</v>
      </c>
      <c r="Y7">
        <f t="shared" si="0"/>
        <v>58.934579999999997</v>
      </c>
      <c r="Z7">
        <f t="shared" si="0"/>
        <v>58.995069999999998</v>
      </c>
      <c r="AA7">
        <f t="shared" si="0"/>
        <v>58.995069999999998</v>
      </c>
      <c r="AB7">
        <f t="shared" si="0"/>
        <v>58.921900000000001</v>
      </c>
      <c r="AC7">
        <f t="shared" si="0"/>
        <v>58.921900000000001</v>
      </c>
      <c r="AD7">
        <f t="shared" si="0"/>
        <v>62.917850000000001</v>
      </c>
      <c r="AE7">
        <f t="shared" si="0"/>
        <v>62.917850000000001</v>
      </c>
      <c r="AF7">
        <f t="shared" si="0"/>
        <v>60.811279999999996</v>
      </c>
      <c r="AG7">
        <f t="shared" si="0"/>
        <v>60.811279999999996</v>
      </c>
      <c r="AH7">
        <f t="shared" ref="AH7:BM7" si="1">VLOOKUP(AH5,$B$13:$C$24,2,FALSE)</f>
        <v>61.602170000000001</v>
      </c>
      <c r="AI7">
        <f t="shared" si="1"/>
        <v>61.602170000000001</v>
      </c>
      <c r="AJ7">
        <f t="shared" si="1"/>
        <v>58.921900000000001</v>
      </c>
      <c r="AK7">
        <f t="shared" si="1"/>
        <v>58.921900000000001</v>
      </c>
      <c r="AL7">
        <f t="shared" si="1"/>
        <v>58.934579999999997</v>
      </c>
      <c r="AM7">
        <f t="shared" si="1"/>
        <v>58.934579999999997</v>
      </c>
      <c r="AN7">
        <f t="shared" si="1"/>
        <v>58.921900000000001</v>
      </c>
      <c r="AO7">
        <f t="shared" si="1"/>
        <v>58.921900000000001</v>
      </c>
      <c r="AP7">
        <f t="shared" si="1"/>
        <v>58.995069999999998</v>
      </c>
      <c r="AQ7">
        <f t="shared" si="1"/>
        <v>58.995069999999998</v>
      </c>
      <c r="AR7">
        <f t="shared" si="1"/>
        <v>58.934579999999997</v>
      </c>
      <c r="AS7">
        <f t="shared" si="1"/>
        <v>58.934579999999997</v>
      </c>
      <c r="AT7">
        <f t="shared" si="1"/>
        <v>58.995069999999998</v>
      </c>
      <c r="AU7">
        <f t="shared" si="1"/>
        <v>58.995069999999998</v>
      </c>
      <c r="AV7">
        <f t="shared" si="1"/>
        <v>58.921900000000001</v>
      </c>
      <c r="AW7">
        <f t="shared" si="1"/>
        <v>58.921900000000001</v>
      </c>
      <c r="AX7">
        <f t="shared" si="1"/>
        <v>60.811279999999996</v>
      </c>
      <c r="AY7">
        <f t="shared" si="1"/>
        <v>60.811279999999996</v>
      </c>
      <c r="AZ7">
        <f t="shared" si="1"/>
        <v>60.403860000000002</v>
      </c>
      <c r="BA7">
        <f t="shared" si="1"/>
        <v>60.403860000000002</v>
      </c>
      <c r="BB7">
        <f t="shared" si="1"/>
        <v>62.917850000000001</v>
      </c>
      <c r="BC7">
        <f t="shared" si="1"/>
        <v>62.917850000000001</v>
      </c>
      <c r="BD7">
        <f t="shared" si="1"/>
        <v>61.602170000000001</v>
      </c>
      <c r="BE7">
        <f t="shared" si="1"/>
        <v>61.602170000000001</v>
      </c>
      <c r="BF7">
        <f t="shared" si="1"/>
        <v>60.811279999999996</v>
      </c>
      <c r="BG7">
        <f t="shared" si="1"/>
        <v>60.811279999999996</v>
      </c>
      <c r="BH7">
        <f t="shared" si="1"/>
        <v>58.921900000000001</v>
      </c>
      <c r="BI7">
        <f t="shared" si="1"/>
        <v>58.921900000000001</v>
      </c>
      <c r="BJ7">
        <f t="shared" si="1"/>
        <v>62.917850000000001</v>
      </c>
      <c r="BK7">
        <f t="shared" si="1"/>
        <v>62.917850000000001</v>
      </c>
      <c r="BL7">
        <f t="shared" si="1"/>
        <v>63.110329999999998</v>
      </c>
      <c r="BM7">
        <f t="shared" si="1"/>
        <v>63.110329999999998</v>
      </c>
      <c r="BN7">
        <f t="shared" ref="BN7:CA7" si="2">VLOOKUP(BN5,$B$13:$C$24,2,FALSE)</f>
        <v>63.088909999999998</v>
      </c>
      <c r="BO7">
        <f t="shared" si="2"/>
        <v>63.088909999999998</v>
      </c>
      <c r="BP7">
        <f t="shared" si="2"/>
        <v>60.403860000000002</v>
      </c>
      <c r="BQ7">
        <f t="shared" si="2"/>
        <v>60.403860000000002</v>
      </c>
      <c r="BR7">
        <f t="shared" si="2"/>
        <v>58.921900000000001</v>
      </c>
      <c r="BS7">
        <f t="shared" si="2"/>
        <v>58.921900000000001</v>
      </c>
      <c r="BT7">
        <f t="shared" si="2"/>
        <v>58.995069999999998</v>
      </c>
      <c r="BU7">
        <f t="shared" si="2"/>
        <v>58.995069999999998</v>
      </c>
      <c r="BV7">
        <f t="shared" si="2"/>
        <v>60.811279999999996</v>
      </c>
      <c r="BW7">
        <f t="shared" si="2"/>
        <v>60.811279999999996</v>
      </c>
      <c r="BX7">
        <f t="shared" si="2"/>
        <v>60.855429999999998</v>
      </c>
      <c r="BY7">
        <f t="shared" si="2"/>
        <v>60.855429999999998</v>
      </c>
      <c r="BZ7">
        <f t="shared" si="2"/>
        <v>60.811279999999996</v>
      </c>
      <c r="CA7">
        <f t="shared" si="2"/>
        <v>60.811279999999996</v>
      </c>
    </row>
    <row r="10" spans="1:79" x14ac:dyDescent="0.3">
      <c r="T10" s="1"/>
      <c r="U10" s="1"/>
    </row>
    <row r="12" spans="1:79" x14ac:dyDescent="0.3">
      <c r="B12" s="1" t="s">
        <v>25</v>
      </c>
      <c r="C12" s="1" t="s">
        <v>27</v>
      </c>
    </row>
    <row r="13" spans="1:79" x14ac:dyDescent="0.3">
      <c r="B13" t="s">
        <v>10</v>
      </c>
      <c r="C13" s="29">
        <v>63.088909999999998</v>
      </c>
    </row>
    <row r="14" spans="1:79" x14ac:dyDescent="0.3">
      <c r="B14" t="s">
        <v>7</v>
      </c>
      <c r="C14" s="29">
        <v>63.110329999999998</v>
      </c>
    </row>
    <row r="15" spans="1:79" x14ac:dyDescent="0.3">
      <c r="B15" t="s">
        <v>8</v>
      </c>
      <c r="C15" s="29">
        <v>62.917850000000001</v>
      </c>
    </row>
    <row r="16" spans="1:79" x14ac:dyDescent="0.3">
      <c r="B16" t="s">
        <v>5</v>
      </c>
      <c r="C16" s="29">
        <v>61.602170000000001</v>
      </c>
    </row>
    <row r="17" spans="1:40" x14ac:dyDescent="0.3">
      <c r="B17" t="s">
        <v>11</v>
      </c>
      <c r="C17" s="29">
        <v>60.855429999999998</v>
      </c>
    </row>
    <row r="18" spans="1:40" x14ac:dyDescent="0.3">
      <c r="B18" t="s">
        <v>4</v>
      </c>
      <c r="C18" s="29">
        <v>60.811279999999996</v>
      </c>
    </row>
    <row r="19" spans="1:40" x14ac:dyDescent="0.3">
      <c r="B19" t="s">
        <v>9</v>
      </c>
      <c r="C19" s="29">
        <v>60.403860000000002</v>
      </c>
      <c r="T19" s="1"/>
      <c r="U19" s="1"/>
    </row>
    <row r="20" spans="1:40" x14ac:dyDescent="0.3">
      <c r="B20" t="s">
        <v>3</v>
      </c>
      <c r="C20" s="29">
        <v>60.373800000000003</v>
      </c>
    </row>
    <row r="21" spans="1:40" x14ac:dyDescent="0.3">
      <c r="B21" t="s">
        <v>6</v>
      </c>
      <c r="C21" s="29">
        <v>59.413499999999999</v>
      </c>
    </row>
    <row r="22" spans="1:40" x14ac:dyDescent="0.3">
      <c r="B22" t="s">
        <v>2</v>
      </c>
      <c r="C22" s="29">
        <v>58.934579999999997</v>
      </c>
    </row>
    <row r="23" spans="1:40" x14ac:dyDescent="0.3">
      <c r="B23" t="s">
        <v>1</v>
      </c>
      <c r="C23" s="29">
        <v>58.921900000000001</v>
      </c>
      <c r="T23" s="1"/>
      <c r="U23" s="1"/>
    </row>
    <row r="24" spans="1:40" x14ac:dyDescent="0.3">
      <c r="B24" t="s">
        <v>0</v>
      </c>
      <c r="C24" s="29">
        <v>58.995069999999998</v>
      </c>
    </row>
    <row r="26" spans="1:40" ht="15" thickBot="1" x14ac:dyDescent="0.35"/>
    <row r="27" spans="1:40" ht="18.600000000000001" thickBot="1" x14ac:dyDescent="0.4">
      <c r="A27" s="17" t="s">
        <v>35</v>
      </c>
    </row>
    <row r="29" spans="1:40" x14ac:dyDescent="0.3">
      <c r="A29" s="12" t="s">
        <v>36</v>
      </c>
      <c r="B29" t="s">
        <v>0</v>
      </c>
      <c r="C29" t="s">
        <v>1</v>
      </c>
      <c r="D29" t="s">
        <v>2</v>
      </c>
      <c r="E29" t="s">
        <v>3</v>
      </c>
      <c r="F29" t="s">
        <v>2</v>
      </c>
      <c r="G29" t="s">
        <v>0</v>
      </c>
      <c r="H29" t="s">
        <v>4</v>
      </c>
      <c r="I29" t="s">
        <v>5</v>
      </c>
      <c r="J29" t="s">
        <v>0</v>
      </c>
      <c r="K29" t="s">
        <v>6</v>
      </c>
      <c r="L29" t="s">
        <v>7</v>
      </c>
      <c r="M29" t="s">
        <v>2</v>
      </c>
      <c r="N29" t="s">
        <v>0</v>
      </c>
      <c r="O29" t="s">
        <v>1</v>
      </c>
      <c r="P29" t="s">
        <v>8</v>
      </c>
      <c r="Q29" t="s">
        <v>4</v>
      </c>
      <c r="R29" t="s">
        <v>5</v>
      </c>
      <c r="S29" t="s">
        <v>1</v>
      </c>
      <c r="T29" t="s">
        <v>2</v>
      </c>
      <c r="U29" t="s">
        <v>1</v>
      </c>
      <c r="V29" t="s">
        <v>0</v>
      </c>
      <c r="W29" t="s">
        <v>2</v>
      </c>
      <c r="X29" t="s">
        <v>0</v>
      </c>
      <c r="Y29" t="s">
        <v>1</v>
      </c>
      <c r="Z29" t="s">
        <v>4</v>
      </c>
      <c r="AA29" t="s">
        <v>31</v>
      </c>
      <c r="AB29" t="s">
        <v>8</v>
      </c>
      <c r="AC29" t="s">
        <v>5</v>
      </c>
      <c r="AD29" t="s">
        <v>4</v>
      </c>
      <c r="AE29" t="s">
        <v>1</v>
      </c>
      <c r="AF29" t="s">
        <v>8</v>
      </c>
      <c r="AG29" t="s">
        <v>7</v>
      </c>
      <c r="AH29" t="s">
        <v>10</v>
      </c>
      <c r="AI29" t="s">
        <v>31</v>
      </c>
      <c r="AJ29" t="s">
        <v>1</v>
      </c>
      <c r="AK29" t="s">
        <v>0</v>
      </c>
      <c r="AL29" t="s">
        <v>4</v>
      </c>
      <c r="AM29" t="s">
        <v>11</v>
      </c>
      <c r="AN29" t="s">
        <v>4</v>
      </c>
    </row>
    <row r="30" spans="1:40" x14ac:dyDescent="0.3">
      <c r="A30" s="12" t="s">
        <v>213</v>
      </c>
      <c r="B30" s="3">
        <v>0</v>
      </c>
      <c r="C30" s="3">
        <v>13</v>
      </c>
      <c r="D30" s="3">
        <v>0.69999999999999929</v>
      </c>
      <c r="E30" s="3">
        <v>108</v>
      </c>
      <c r="F30" s="3">
        <v>107.99999999999999</v>
      </c>
      <c r="G30" s="3">
        <v>13</v>
      </c>
      <c r="H30" s="3">
        <v>131</v>
      </c>
      <c r="I30" s="3">
        <v>60</v>
      </c>
      <c r="J30" s="3">
        <v>178.00000000000006</v>
      </c>
      <c r="K30" s="3">
        <v>34</v>
      </c>
      <c r="L30" s="3">
        <v>296</v>
      </c>
      <c r="M30" s="3">
        <v>326</v>
      </c>
      <c r="N30" s="3">
        <v>13</v>
      </c>
      <c r="O30" s="3">
        <v>13</v>
      </c>
      <c r="P30" s="3">
        <v>310</v>
      </c>
      <c r="Q30" s="3">
        <v>184</v>
      </c>
      <c r="R30" s="3">
        <v>60</v>
      </c>
      <c r="S30" s="3">
        <v>181</v>
      </c>
      <c r="T30" s="3">
        <v>0.70000000000004547</v>
      </c>
      <c r="U30" s="3">
        <v>0.70000000000004547</v>
      </c>
      <c r="V30" s="3">
        <v>13</v>
      </c>
      <c r="W30" s="3">
        <v>13.000000000000227</v>
      </c>
      <c r="X30" s="3">
        <v>13</v>
      </c>
      <c r="Y30" s="3">
        <v>13</v>
      </c>
      <c r="Z30" s="3">
        <v>134</v>
      </c>
      <c r="AA30" s="3">
        <v>38</v>
      </c>
      <c r="AB30" s="3">
        <v>211</v>
      </c>
      <c r="AC30" s="3">
        <v>132</v>
      </c>
      <c r="AD30" s="3">
        <v>60</v>
      </c>
      <c r="AE30" s="3">
        <v>134</v>
      </c>
      <c r="AF30" s="3">
        <v>310</v>
      </c>
      <c r="AG30" s="3">
        <v>16</v>
      </c>
      <c r="AH30" s="3">
        <v>5</v>
      </c>
      <c r="AI30" s="3">
        <v>232</v>
      </c>
      <c r="AJ30" s="3">
        <v>108</v>
      </c>
      <c r="AK30" s="3">
        <v>13</v>
      </c>
      <c r="AL30" s="3">
        <v>131</v>
      </c>
      <c r="AM30" s="3">
        <v>3.1999999999998181</v>
      </c>
      <c r="AN30" s="3">
        <v>3.1999999999998181</v>
      </c>
    </row>
    <row r="31" spans="1:40" x14ac:dyDescent="0.3">
      <c r="A31" s="12" t="s">
        <v>214</v>
      </c>
      <c r="B31" s="3">
        <v>0</v>
      </c>
      <c r="C31" s="3">
        <f>B31+C30</f>
        <v>13</v>
      </c>
      <c r="D31" s="3">
        <f>C31+D30</f>
        <v>13.7</v>
      </c>
      <c r="E31" s="3">
        <f t="shared" ref="E31:K31" si="3">D31+E30</f>
        <v>121.7</v>
      </c>
      <c r="F31" s="3">
        <f t="shared" si="3"/>
        <v>229.7</v>
      </c>
      <c r="G31" s="3">
        <f t="shared" si="3"/>
        <v>242.7</v>
      </c>
      <c r="H31" s="3">
        <f t="shared" si="3"/>
        <v>373.7</v>
      </c>
      <c r="I31" s="3">
        <f t="shared" si="3"/>
        <v>433.7</v>
      </c>
      <c r="J31" s="3">
        <f t="shared" si="3"/>
        <v>611.70000000000005</v>
      </c>
      <c r="K31" s="3">
        <f t="shared" si="3"/>
        <v>645.70000000000005</v>
      </c>
      <c r="L31" s="3">
        <f t="shared" ref="L31" si="4">K31+L30</f>
        <v>941.7</v>
      </c>
      <c r="M31" s="3">
        <f t="shared" ref="M31" si="5">L31+M30</f>
        <v>1267.7</v>
      </c>
      <c r="N31" s="3">
        <f t="shared" ref="N31" si="6">M31+N30</f>
        <v>1280.7</v>
      </c>
      <c r="O31" s="3">
        <f t="shared" ref="O31" si="7">N31+O30</f>
        <v>1293.7</v>
      </c>
      <c r="P31" s="3">
        <f t="shared" ref="P31:R31" si="8">O31+P30</f>
        <v>1603.7</v>
      </c>
      <c r="Q31" s="3">
        <f t="shared" si="8"/>
        <v>1787.7</v>
      </c>
      <c r="R31" s="3">
        <f t="shared" si="8"/>
        <v>1847.7</v>
      </c>
      <c r="S31" s="3">
        <f t="shared" ref="S31" si="9">R31+S30</f>
        <v>2028.7</v>
      </c>
      <c r="T31" s="3">
        <f t="shared" ref="T31" si="10">S31+T30</f>
        <v>2029.4</v>
      </c>
      <c r="U31" s="3">
        <f t="shared" ref="U31" si="11">T31+U30</f>
        <v>2030.1000000000001</v>
      </c>
      <c r="V31" s="3">
        <f t="shared" ref="V31" si="12">U31+V30</f>
        <v>2043.1000000000001</v>
      </c>
      <c r="W31" s="3">
        <f t="shared" ref="W31:Y31" si="13">V31+W30</f>
        <v>2056.1000000000004</v>
      </c>
      <c r="X31" s="3">
        <f t="shared" si="13"/>
        <v>2069.1000000000004</v>
      </c>
      <c r="Y31" s="3">
        <f t="shared" si="13"/>
        <v>2082.1000000000004</v>
      </c>
      <c r="Z31" s="3">
        <f t="shared" ref="Z31" si="14">Y31+Z30</f>
        <v>2216.1000000000004</v>
      </c>
      <c r="AA31" s="3">
        <f t="shared" ref="AA31" si="15">Z31+AA30</f>
        <v>2254.1000000000004</v>
      </c>
      <c r="AB31" s="3">
        <f t="shared" ref="AB31" si="16">AA31+AB30</f>
        <v>2465.1000000000004</v>
      </c>
      <c r="AC31" s="3">
        <f t="shared" ref="AC31" si="17">AB31+AC30</f>
        <v>2597.1000000000004</v>
      </c>
      <c r="AD31" s="3">
        <f t="shared" ref="AD31:AF31" si="18">AC31+AD30</f>
        <v>2657.1000000000004</v>
      </c>
      <c r="AE31" s="3">
        <f t="shared" si="18"/>
        <v>2791.1000000000004</v>
      </c>
      <c r="AF31" s="3">
        <f t="shared" si="18"/>
        <v>3101.1000000000004</v>
      </c>
      <c r="AG31" s="3">
        <f t="shared" ref="AG31" si="19">AF31+AG30</f>
        <v>3117.1000000000004</v>
      </c>
      <c r="AH31" s="3">
        <f t="shared" ref="AH31" si="20">AG31+AH30</f>
        <v>3122.1000000000004</v>
      </c>
      <c r="AI31" s="3">
        <f t="shared" ref="AI31" si="21">AH31+AI30</f>
        <v>3354.1000000000004</v>
      </c>
      <c r="AJ31" s="3">
        <f t="shared" ref="AJ31" si="22">AI31+AJ30</f>
        <v>3462.1000000000004</v>
      </c>
      <c r="AK31" s="3">
        <f t="shared" ref="AK31:AM31" si="23">AJ31+AK30</f>
        <v>3475.1000000000004</v>
      </c>
      <c r="AL31" s="3">
        <f t="shared" si="23"/>
        <v>3606.1000000000004</v>
      </c>
      <c r="AM31" s="3">
        <f t="shared" si="23"/>
        <v>3609.3</v>
      </c>
      <c r="AN31" s="3">
        <f t="shared" ref="AN31" si="24">AM31+AN30</f>
        <v>3612.5</v>
      </c>
    </row>
    <row r="32" spans="1:40" x14ac:dyDescent="0.3">
      <c r="A32" s="13" t="s">
        <v>215</v>
      </c>
      <c r="B32" s="3">
        <f>AN31</f>
        <v>3612.5</v>
      </c>
    </row>
    <row r="33" spans="1:42" x14ac:dyDescent="0.3">
      <c r="A33" s="4" t="s">
        <v>217</v>
      </c>
      <c r="B33">
        <f>COUNTBLANK(B28:AN28)-1</f>
        <v>38</v>
      </c>
      <c r="T33" s="1"/>
      <c r="U33" s="1"/>
    </row>
    <row r="34" spans="1:42" x14ac:dyDescent="0.3">
      <c r="A34" s="4" t="s">
        <v>216</v>
      </c>
      <c r="B34" s="2">
        <f>B32/B33</f>
        <v>95.065789473684205</v>
      </c>
      <c r="T34" s="1"/>
      <c r="U34" s="1"/>
    </row>
    <row r="36" spans="1:42" ht="15" thickBot="1" x14ac:dyDescent="0.35"/>
    <row r="37" spans="1:42" ht="18.600000000000001" thickBot="1" x14ac:dyDescent="0.4">
      <c r="A37" s="17" t="s">
        <v>40</v>
      </c>
    </row>
    <row r="39" spans="1:42" x14ac:dyDescent="0.3">
      <c r="A39" s="12" t="s">
        <v>36</v>
      </c>
      <c r="B39" t="s">
        <v>0</v>
      </c>
      <c r="C39" t="s">
        <v>1</v>
      </c>
      <c r="D39" t="s">
        <v>2</v>
      </c>
      <c r="E39" t="s">
        <v>3</v>
      </c>
      <c r="F39" t="s">
        <v>2</v>
      </c>
      <c r="G39" t="s">
        <v>0</v>
      </c>
      <c r="H39" t="s">
        <v>4</v>
      </c>
      <c r="I39" t="s">
        <v>5</v>
      </c>
      <c r="J39" t="s">
        <v>0</v>
      </c>
      <c r="K39" t="s">
        <v>6</v>
      </c>
      <c r="L39" t="s">
        <v>7</v>
      </c>
      <c r="M39" t="s">
        <v>2</v>
      </c>
      <c r="N39" t="s">
        <v>0</v>
      </c>
      <c r="O39" t="s">
        <v>1</v>
      </c>
      <c r="P39" t="s">
        <v>8</v>
      </c>
      <c r="Q39" t="s">
        <v>4</v>
      </c>
      <c r="R39" t="s">
        <v>5</v>
      </c>
      <c r="S39" t="s">
        <v>1</v>
      </c>
      <c r="T39" t="s">
        <v>2</v>
      </c>
      <c r="U39" t="s">
        <v>1</v>
      </c>
      <c r="V39" t="s">
        <v>0</v>
      </c>
      <c r="W39" t="s">
        <v>2</v>
      </c>
      <c r="X39" t="s">
        <v>0</v>
      </c>
      <c r="Y39" t="s">
        <v>1</v>
      </c>
      <c r="Z39" t="s">
        <v>4</v>
      </c>
      <c r="AA39" t="s">
        <v>31</v>
      </c>
      <c r="AB39" t="s">
        <v>8</v>
      </c>
      <c r="AC39" t="s">
        <v>5</v>
      </c>
      <c r="AD39" t="s">
        <v>4</v>
      </c>
      <c r="AE39" t="s">
        <v>1</v>
      </c>
      <c r="AF39" t="s">
        <v>8</v>
      </c>
      <c r="AG39" t="s">
        <v>7</v>
      </c>
      <c r="AH39" t="s">
        <v>10</v>
      </c>
      <c r="AI39" t="s">
        <v>31</v>
      </c>
      <c r="AJ39" t="s">
        <v>1</v>
      </c>
      <c r="AK39" t="s">
        <v>0</v>
      </c>
      <c r="AL39" t="s">
        <v>4</v>
      </c>
      <c r="AM39" t="s">
        <v>11</v>
      </c>
      <c r="AN39" t="s">
        <v>4</v>
      </c>
    </row>
    <row r="40" spans="1:42" x14ac:dyDescent="0.3">
      <c r="A40" s="12" t="s">
        <v>37</v>
      </c>
      <c r="B40">
        <v>0</v>
      </c>
      <c r="C40">
        <v>13</v>
      </c>
      <c r="D40">
        <v>0.69999999999999929</v>
      </c>
      <c r="E40">
        <v>108</v>
      </c>
      <c r="F40">
        <v>107.99999999999999</v>
      </c>
      <c r="G40">
        <v>13</v>
      </c>
      <c r="H40">
        <v>131</v>
      </c>
      <c r="I40">
        <v>60</v>
      </c>
      <c r="J40">
        <v>178.00000000000006</v>
      </c>
      <c r="K40">
        <v>34</v>
      </c>
      <c r="L40">
        <v>296</v>
      </c>
      <c r="M40">
        <v>326</v>
      </c>
      <c r="N40">
        <v>13</v>
      </c>
      <c r="O40">
        <v>13</v>
      </c>
      <c r="P40">
        <v>310</v>
      </c>
      <c r="Q40">
        <v>184</v>
      </c>
      <c r="R40">
        <v>60</v>
      </c>
      <c r="S40">
        <v>181</v>
      </c>
      <c r="T40">
        <v>0.70000000000004547</v>
      </c>
      <c r="U40">
        <v>0.70000000000004547</v>
      </c>
      <c r="V40">
        <v>13</v>
      </c>
      <c r="W40">
        <v>13.000000000000227</v>
      </c>
      <c r="X40">
        <v>13</v>
      </c>
      <c r="Y40">
        <v>13</v>
      </c>
      <c r="Z40">
        <v>134</v>
      </c>
      <c r="AA40">
        <v>38</v>
      </c>
      <c r="AB40">
        <v>211</v>
      </c>
      <c r="AC40">
        <v>132</v>
      </c>
      <c r="AD40">
        <v>60</v>
      </c>
      <c r="AE40">
        <v>134</v>
      </c>
      <c r="AF40">
        <v>310</v>
      </c>
      <c r="AG40">
        <v>16</v>
      </c>
      <c r="AH40">
        <v>5</v>
      </c>
      <c r="AI40">
        <v>232</v>
      </c>
      <c r="AJ40">
        <v>108</v>
      </c>
      <c r="AK40">
        <v>13</v>
      </c>
      <c r="AL40">
        <v>131</v>
      </c>
      <c r="AM40">
        <v>3.1999999999998181</v>
      </c>
      <c r="AN40">
        <v>3.1999999999998181</v>
      </c>
    </row>
    <row r="41" spans="1:42" x14ac:dyDescent="0.3">
      <c r="A41" t="s">
        <v>77</v>
      </c>
      <c r="B41" s="2"/>
      <c r="C41" s="2"/>
      <c r="D41" s="2"/>
      <c r="E41" s="2"/>
      <c r="F41" s="2"/>
      <c r="G41" s="2"/>
      <c r="H41" s="2"/>
      <c r="I41" s="2">
        <v>1</v>
      </c>
      <c r="J41" s="2"/>
      <c r="K41" s="2"/>
      <c r="L41" s="2">
        <v>1</v>
      </c>
      <c r="M41" s="2"/>
      <c r="N41" s="2"/>
      <c r="O41" s="2">
        <v>10</v>
      </c>
      <c r="P41" s="2"/>
      <c r="Q41" s="2"/>
      <c r="R41" s="2">
        <v>32</v>
      </c>
      <c r="S41" s="2"/>
      <c r="T41" s="2"/>
      <c r="U41" s="2"/>
      <c r="V41" s="2"/>
      <c r="W41" s="2"/>
      <c r="X41" s="2"/>
      <c r="Y41" s="2">
        <v>15</v>
      </c>
      <c r="Z41" s="2"/>
      <c r="AA41" s="2"/>
      <c r="AB41" s="2"/>
      <c r="AC41" s="2">
        <v>135</v>
      </c>
      <c r="AD41" s="2">
        <v>10</v>
      </c>
      <c r="AE41" s="2"/>
      <c r="AF41" s="2"/>
      <c r="AG41" s="2">
        <v>3</v>
      </c>
      <c r="AH41" s="2"/>
      <c r="AI41" s="2"/>
      <c r="AJ41" s="2">
        <v>67</v>
      </c>
      <c r="AK41" s="2"/>
      <c r="AL41" s="2"/>
    </row>
    <row r="42" spans="1:42" x14ac:dyDescent="0.3">
      <c r="A42" t="s">
        <v>85</v>
      </c>
      <c r="B42" s="2"/>
      <c r="C42" s="2"/>
      <c r="D42" s="2"/>
      <c r="E42" s="2"/>
      <c r="F42" s="2"/>
      <c r="G42" s="2"/>
      <c r="H42" s="2"/>
      <c r="I42" s="2">
        <f>F57</f>
        <v>6</v>
      </c>
      <c r="J42" s="2"/>
      <c r="K42" s="2"/>
      <c r="L42" s="2">
        <f>F54</f>
        <v>11</v>
      </c>
      <c r="M42" s="2"/>
      <c r="N42" s="2"/>
      <c r="O42" s="2">
        <f>O41*F58</f>
        <v>300</v>
      </c>
      <c r="P42" s="2"/>
      <c r="Q42" s="2"/>
      <c r="R42" s="2">
        <f>19*F58+13*F57</f>
        <v>648</v>
      </c>
      <c r="S42" s="2"/>
      <c r="T42" s="2"/>
      <c r="U42" s="2"/>
      <c r="V42" s="2"/>
      <c r="W42" s="2"/>
      <c r="X42" s="2"/>
      <c r="Y42" s="2">
        <f>Y41*F58</f>
        <v>450</v>
      </c>
      <c r="Z42" s="2"/>
      <c r="AA42" s="2"/>
      <c r="AB42" s="2"/>
      <c r="AC42" s="2">
        <f>64*F55+39*F56</f>
        <v>342.8</v>
      </c>
      <c r="AD42" s="2">
        <f>10*F57</f>
        <v>60</v>
      </c>
      <c r="AE42" s="2"/>
      <c r="AF42" s="2"/>
      <c r="AG42" s="2"/>
      <c r="AH42" s="2"/>
      <c r="AI42" s="2"/>
      <c r="AJ42" s="2">
        <f>AJ41*F55</f>
        <v>113.89999999999999</v>
      </c>
      <c r="AK42" s="2"/>
      <c r="AL42" s="2"/>
    </row>
    <row r="43" spans="1:42" x14ac:dyDescent="0.3">
      <c r="A43" t="s">
        <v>78</v>
      </c>
      <c r="B43" s="2"/>
      <c r="C43" s="2">
        <v>17</v>
      </c>
      <c r="D43" s="2">
        <v>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11</v>
      </c>
      <c r="R43" s="2"/>
      <c r="S43" s="2">
        <v>13</v>
      </c>
      <c r="T43" s="2"/>
      <c r="U43" s="2"/>
      <c r="V43" s="2"/>
      <c r="W43" s="2"/>
      <c r="X43" s="2"/>
      <c r="Y43" s="2"/>
      <c r="Z43" s="2">
        <v>34</v>
      </c>
      <c r="AA43" s="2"/>
      <c r="AB43" s="2"/>
      <c r="AC43" s="2"/>
      <c r="AD43" s="2">
        <v>71</v>
      </c>
      <c r="AE43" s="2">
        <v>74</v>
      </c>
      <c r="AF43" s="2"/>
      <c r="AG43" s="2"/>
      <c r="AH43" s="2"/>
      <c r="AI43" s="2"/>
      <c r="AJ43" s="2">
        <v>3</v>
      </c>
      <c r="AK43" s="2"/>
      <c r="AL43" s="2">
        <v>67</v>
      </c>
    </row>
    <row r="44" spans="1:42" x14ac:dyDescent="0.3">
      <c r="A44" t="s">
        <v>85</v>
      </c>
      <c r="B44" s="2"/>
      <c r="C44" s="2">
        <f>4*F55+13*F57</f>
        <v>84.8</v>
      </c>
      <c r="D44" s="2">
        <f>F55</f>
        <v>1.7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f>10*F58+F54</f>
        <v>311</v>
      </c>
      <c r="R44" s="2"/>
      <c r="S44" s="2">
        <f>S43*F57</f>
        <v>78</v>
      </c>
      <c r="T44" s="2"/>
      <c r="U44" s="2"/>
      <c r="V44" s="2"/>
      <c r="W44" s="2"/>
      <c r="X44" s="2"/>
      <c r="Y44" s="2"/>
      <c r="Z44" s="2">
        <f>Z43*F58</f>
        <v>1020</v>
      </c>
      <c r="AA44" s="2"/>
      <c r="AB44" s="2"/>
      <c r="AC44" s="2"/>
      <c r="AD44" s="2">
        <f>39*F56+32*F55</f>
        <v>288.39999999999998</v>
      </c>
      <c r="AE44" s="2">
        <f>64*F55+10*F57</f>
        <v>168.8</v>
      </c>
      <c r="AF44" s="2"/>
      <c r="AG44" s="2"/>
      <c r="AH44" s="2"/>
      <c r="AI44" s="2"/>
      <c r="AJ44" s="2">
        <f>F55*AJ43</f>
        <v>5.0999999999999996</v>
      </c>
      <c r="AK44" s="2"/>
      <c r="AL44" s="2">
        <f>AL43*F55</f>
        <v>113.89999999999999</v>
      </c>
    </row>
    <row r="45" spans="1:42" x14ac:dyDescent="0.3">
      <c r="A45" s="12" t="s">
        <v>42</v>
      </c>
      <c r="B45" s="2">
        <v>188</v>
      </c>
      <c r="C45" s="2">
        <v>586</v>
      </c>
      <c r="D45" s="2">
        <v>324</v>
      </c>
      <c r="E45" s="2"/>
      <c r="F45" s="2">
        <v>148</v>
      </c>
      <c r="G45" s="2">
        <v>497</v>
      </c>
      <c r="H45" s="2"/>
      <c r="I45" s="2">
        <v>164</v>
      </c>
      <c r="J45" s="2"/>
      <c r="K45" s="2"/>
      <c r="L45" s="2">
        <v>610</v>
      </c>
      <c r="M45" s="2">
        <v>223</v>
      </c>
      <c r="N45" s="2">
        <v>265</v>
      </c>
      <c r="O45" s="2">
        <v>637</v>
      </c>
      <c r="P45" s="2"/>
      <c r="Q45" s="2"/>
      <c r="R45" s="2"/>
      <c r="S45" s="2"/>
      <c r="T45" s="2">
        <v>111</v>
      </c>
      <c r="U45" s="2">
        <v>311</v>
      </c>
      <c r="V45" s="2"/>
      <c r="W45" s="2">
        <v>141</v>
      </c>
      <c r="X45" s="2">
        <v>163</v>
      </c>
      <c r="Y45" s="2"/>
      <c r="Z45" s="2"/>
      <c r="AA45" s="2"/>
      <c r="AB45" s="2"/>
      <c r="AC45" s="2"/>
      <c r="AD45" s="2"/>
      <c r="AE45" s="2">
        <v>673</v>
      </c>
      <c r="AF45" s="2"/>
      <c r="AG45" s="2">
        <v>478</v>
      </c>
      <c r="AH45" s="2"/>
      <c r="AI45" s="2">
        <v>231</v>
      </c>
      <c r="AJ45" s="2"/>
      <c r="AK45" s="2">
        <v>261</v>
      </c>
      <c r="AL45" s="2"/>
      <c r="AM45" s="2"/>
      <c r="AN45" s="2">
        <v>972</v>
      </c>
      <c r="AP45" s="6"/>
    </row>
    <row r="46" spans="1:42" x14ac:dyDescent="0.3">
      <c r="A46" s="16" t="s">
        <v>79</v>
      </c>
      <c r="B46" s="2">
        <v>1.61</v>
      </c>
      <c r="C46" s="2">
        <f>(244/586*1.01)+(342/586*1.04)</f>
        <v>1.0275085324232083</v>
      </c>
      <c r="D46" s="2">
        <v>1.53</v>
      </c>
      <c r="E46" s="2"/>
      <c r="F46" s="2">
        <v>1.52</v>
      </c>
      <c r="G46" s="2">
        <v>1.2</v>
      </c>
      <c r="H46" s="2"/>
      <c r="I46" s="2">
        <v>1.54</v>
      </c>
      <c r="J46" s="2"/>
      <c r="K46" s="2"/>
      <c r="L46" s="2">
        <f>(107/610*0.76)+(316/610*1.43)+(187/610*0.84)</f>
        <v>1.1316065573770493</v>
      </c>
      <c r="M46" s="2">
        <v>1.46</v>
      </c>
      <c r="N46" s="2">
        <v>1.1499999999999999</v>
      </c>
      <c r="O46" s="2">
        <v>1.05</v>
      </c>
      <c r="P46" s="2"/>
      <c r="Q46" s="2"/>
      <c r="R46" s="2"/>
      <c r="S46" s="2"/>
      <c r="T46" s="2">
        <v>1.36</v>
      </c>
      <c r="U46" s="2">
        <v>1.64</v>
      </c>
      <c r="V46" s="2"/>
      <c r="W46" s="2">
        <v>1.18</v>
      </c>
      <c r="X46" s="2">
        <v>1.61</v>
      </c>
      <c r="Y46" s="2"/>
      <c r="Z46" s="2"/>
      <c r="AA46" s="2"/>
      <c r="AB46" s="2"/>
      <c r="AC46" s="2"/>
      <c r="AD46" s="2"/>
      <c r="AE46" s="2">
        <f>(237/673*1.05)+(436/673*1.5)</f>
        <v>1.3415304606240714</v>
      </c>
      <c r="AF46" s="2"/>
      <c r="AG46" s="2">
        <v>1.3520000000000001</v>
      </c>
      <c r="AH46" s="2"/>
      <c r="AI46" s="2">
        <v>1.35</v>
      </c>
      <c r="AJ46" s="2"/>
      <c r="AK46" s="2">
        <v>1.03</v>
      </c>
      <c r="AL46" s="2"/>
      <c r="AM46" s="2"/>
      <c r="AN46" s="2">
        <f>(165/972*1.41)+(196/972*1.56)+(203/972*1.35)+(408/972*1.38)</f>
        <v>1.4151234567901234</v>
      </c>
      <c r="AP46" s="6"/>
    </row>
    <row r="47" spans="1:42" x14ac:dyDescent="0.3">
      <c r="A47" t="s">
        <v>85</v>
      </c>
      <c r="B47" s="2">
        <f>B45*B46</f>
        <v>302.68</v>
      </c>
      <c r="C47" s="2">
        <f t="shared" ref="C47:AN47" si="25">C45*C46</f>
        <v>602.12</v>
      </c>
      <c r="D47" s="2">
        <f t="shared" si="25"/>
        <v>495.72</v>
      </c>
      <c r="E47" s="2"/>
      <c r="F47" s="2">
        <f t="shared" si="25"/>
        <v>224.96</v>
      </c>
      <c r="G47" s="2">
        <f t="shared" si="25"/>
        <v>596.4</v>
      </c>
      <c r="H47" s="2"/>
      <c r="I47" s="2">
        <f t="shared" si="25"/>
        <v>252.56</v>
      </c>
      <c r="J47" s="2"/>
      <c r="K47" s="2"/>
      <c r="L47" s="2">
        <f t="shared" si="25"/>
        <v>690.28000000000009</v>
      </c>
      <c r="M47" s="2">
        <f t="shared" si="25"/>
        <v>325.58</v>
      </c>
      <c r="N47" s="2">
        <f t="shared" si="25"/>
        <v>304.75</v>
      </c>
      <c r="O47" s="2">
        <f t="shared" si="25"/>
        <v>668.85</v>
      </c>
      <c r="P47" s="2"/>
      <c r="Q47" s="2"/>
      <c r="R47" s="2"/>
      <c r="S47" s="2"/>
      <c r="T47" s="2">
        <f t="shared" si="25"/>
        <v>150.96</v>
      </c>
      <c r="U47" s="2">
        <f t="shared" si="25"/>
        <v>510.03999999999996</v>
      </c>
      <c r="V47" s="2"/>
      <c r="W47" s="2">
        <f t="shared" si="25"/>
        <v>166.38</v>
      </c>
      <c r="X47" s="2">
        <f t="shared" si="25"/>
        <v>262.43</v>
      </c>
      <c r="Y47" s="2"/>
      <c r="Z47" s="2"/>
      <c r="AA47" s="2"/>
      <c r="AB47" s="2"/>
      <c r="AC47" s="2"/>
      <c r="AD47" s="2"/>
      <c r="AE47" s="2">
        <f t="shared" si="25"/>
        <v>902.85000000000014</v>
      </c>
      <c r="AF47" s="2"/>
      <c r="AG47" s="2">
        <f t="shared" si="25"/>
        <v>646.25600000000009</v>
      </c>
      <c r="AH47" s="2"/>
      <c r="AI47" s="2">
        <f t="shared" si="25"/>
        <v>311.85000000000002</v>
      </c>
      <c r="AJ47" s="2"/>
      <c r="AK47" s="2">
        <f t="shared" si="25"/>
        <v>268.83</v>
      </c>
      <c r="AL47" s="2"/>
      <c r="AM47" s="2"/>
      <c r="AN47" s="2">
        <f t="shared" si="25"/>
        <v>1375.5</v>
      </c>
      <c r="AP47" s="6"/>
    </row>
    <row r="48" spans="1:42" x14ac:dyDescent="0.3">
      <c r="A48" s="12" t="s">
        <v>43</v>
      </c>
      <c r="B48" s="2"/>
      <c r="C48" s="2">
        <v>188</v>
      </c>
      <c r="D48" s="2"/>
      <c r="E48" s="2">
        <v>586</v>
      </c>
      <c r="F48" s="2"/>
      <c r="G48" s="2">
        <v>327</v>
      </c>
      <c r="H48" s="2">
        <v>497</v>
      </c>
      <c r="I48" s="2"/>
      <c r="J48" s="2">
        <v>164</v>
      </c>
      <c r="K48" s="2"/>
      <c r="L48" s="2"/>
      <c r="M48" s="2">
        <v>610</v>
      </c>
      <c r="N48" s="2">
        <v>368</v>
      </c>
      <c r="O48" s="2"/>
      <c r="P48" s="2">
        <v>263</v>
      </c>
      <c r="Q48" s="2">
        <v>639</v>
      </c>
      <c r="R48" s="2"/>
      <c r="S48" s="2"/>
      <c r="T48" s="2"/>
      <c r="U48" s="2"/>
      <c r="V48" s="2">
        <v>111</v>
      </c>
      <c r="W48" s="2"/>
      <c r="X48" s="2"/>
      <c r="Y48" s="2"/>
      <c r="Z48" s="2"/>
      <c r="AA48" s="2">
        <v>141</v>
      </c>
      <c r="AB48" s="2">
        <v>231</v>
      </c>
      <c r="AC48" s="2"/>
      <c r="AD48" s="2"/>
      <c r="AE48" s="2">
        <v>163</v>
      </c>
      <c r="AF48" s="2">
        <v>516</v>
      </c>
      <c r="AG48" s="2"/>
      <c r="AH48" s="2">
        <v>372</v>
      </c>
      <c r="AI48" s="2"/>
      <c r="AJ48" s="2"/>
      <c r="AK48" s="2"/>
      <c r="AL48" s="2">
        <v>237</v>
      </c>
      <c r="AM48" s="2"/>
      <c r="AN48" s="2">
        <v>574</v>
      </c>
      <c r="AP48" s="6"/>
    </row>
    <row r="49" spans="1:42" x14ac:dyDescent="0.3">
      <c r="A49" s="16" t="s">
        <v>79</v>
      </c>
      <c r="B49" s="2"/>
      <c r="C49" s="2">
        <v>1.61</v>
      </c>
      <c r="D49" s="2"/>
      <c r="E49" s="2">
        <f>(244/586*1.01)+(342/586*1.04)</f>
        <v>1.0275085324232083</v>
      </c>
      <c r="F49" s="2"/>
      <c r="G49" s="2">
        <f>(148/327*1.52)+(178/327*1.53)</f>
        <v>1.5207951070336392</v>
      </c>
      <c r="H49" s="2">
        <v>1.2</v>
      </c>
      <c r="I49" s="2"/>
      <c r="J49" s="2">
        <v>1.54</v>
      </c>
      <c r="K49" s="2"/>
      <c r="L49" s="2"/>
      <c r="M49" s="2">
        <f>(187/610*0.84)+(107/610*0.76)+(316/610*1.43)</f>
        <v>1.1316065573770491</v>
      </c>
      <c r="N49" s="2">
        <f>(223/368*1.46)+(145/368*1.53)</f>
        <v>1.4875815217391302</v>
      </c>
      <c r="O49" s="2"/>
      <c r="P49" s="2">
        <v>1.05</v>
      </c>
      <c r="Q49" s="2">
        <f>(374/639*1.05)+(265/639*1.15)</f>
        <v>1.0914710485133021</v>
      </c>
      <c r="R49" s="2"/>
      <c r="S49" s="2"/>
      <c r="T49" s="2"/>
      <c r="U49" s="2"/>
      <c r="V49" s="2">
        <v>1.36</v>
      </c>
      <c r="W49" s="2"/>
      <c r="X49" s="2"/>
      <c r="Y49" s="2"/>
      <c r="Z49" s="2"/>
      <c r="AA49" s="2">
        <v>1.18</v>
      </c>
      <c r="AB49" s="2">
        <v>1.64</v>
      </c>
      <c r="AC49" s="2"/>
      <c r="AD49" s="2"/>
      <c r="AE49" s="2">
        <v>1.61</v>
      </c>
      <c r="AF49" s="2">
        <v>1.5</v>
      </c>
      <c r="AG49" s="2"/>
      <c r="AH49" s="2">
        <f>(237/372*1.05)+(135/372*1.36)</f>
        <v>1.1625000000000001</v>
      </c>
      <c r="AI49" s="2"/>
      <c r="AJ49" s="2"/>
      <c r="AK49" s="2"/>
      <c r="AL49" s="2">
        <v>1.05</v>
      </c>
      <c r="AM49" s="2"/>
      <c r="AN49" s="2">
        <v>1.35</v>
      </c>
      <c r="AP49" s="6"/>
    </row>
    <row r="50" spans="1:42" x14ac:dyDescent="0.3">
      <c r="A50" t="s">
        <v>85</v>
      </c>
      <c r="B50" s="2"/>
      <c r="C50" s="2">
        <f t="shared" ref="C50:AN50" si="26">C48*C49</f>
        <v>302.68</v>
      </c>
      <c r="D50" s="2"/>
      <c r="E50" s="2">
        <f t="shared" si="26"/>
        <v>602.12</v>
      </c>
      <c r="F50" s="2"/>
      <c r="G50" s="2">
        <f t="shared" si="26"/>
        <v>497.3</v>
      </c>
      <c r="H50" s="2">
        <f t="shared" si="26"/>
        <v>596.4</v>
      </c>
      <c r="I50" s="2"/>
      <c r="J50" s="2">
        <f t="shared" si="26"/>
        <v>252.56</v>
      </c>
      <c r="K50" s="2"/>
      <c r="L50" s="2"/>
      <c r="M50" s="2">
        <f t="shared" si="26"/>
        <v>690.28</v>
      </c>
      <c r="N50" s="2">
        <f t="shared" si="26"/>
        <v>547.42999999999995</v>
      </c>
      <c r="O50" s="2"/>
      <c r="P50" s="2">
        <f t="shared" si="26"/>
        <v>276.15000000000003</v>
      </c>
      <c r="Q50" s="2">
        <f t="shared" si="26"/>
        <v>697.45</v>
      </c>
      <c r="R50" s="2"/>
      <c r="S50" s="2"/>
      <c r="T50" s="2"/>
      <c r="U50" s="2"/>
      <c r="V50" s="2">
        <f t="shared" si="26"/>
        <v>150.96</v>
      </c>
      <c r="W50" s="2"/>
      <c r="X50" s="2"/>
      <c r="Y50" s="2"/>
      <c r="Z50" s="2"/>
      <c r="AA50" s="2">
        <f t="shared" si="26"/>
        <v>166.38</v>
      </c>
      <c r="AB50" s="2">
        <f t="shared" si="26"/>
        <v>378.84</v>
      </c>
      <c r="AC50" s="2"/>
      <c r="AD50" s="2"/>
      <c r="AE50" s="2">
        <f t="shared" si="26"/>
        <v>262.43</v>
      </c>
      <c r="AF50" s="2">
        <f t="shared" si="26"/>
        <v>774</v>
      </c>
      <c r="AG50" s="2"/>
      <c r="AH50" s="2">
        <f t="shared" si="26"/>
        <v>432.45000000000005</v>
      </c>
      <c r="AI50" s="2"/>
      <c r="AJ50" s="2"/>
      <c r="AK50" s="2"/>
      <c r="AL50" s="2">
        <f t="shared" si="26"/>
        <v>248.85000000000002</v>
      </c>
      <c r="AM50" s="2"/>
      <c r="AN50" s="2">
        <f t="shared" si="26"/>
        <v>774.90000000000009</v>
      </c>
      <c r="AP50" s="6"/>
    </row>
    <row r="51" spans="1:42" x14ac:dyDescent="0.3">
      <c r="A51" s="12" t="s">
        <v>46</v>
      </c>
      <c r="B51" s="5"/>
      <c r="C51" s="5">
        <f>(B52+B45*B46)*C40</f>
        <v>5059.34</v>
      </c>
      <c r="D51" s="6">
        <f>($B$52+SUM($B$42:C42)+SUM($B$47:C47)-SUM($B$44:C44)-(SUM($B$50:C50))*D40)</f>
        <v>694.62400000000025</v>
      </c>
      <c r="E51" s="6">
        <f>($B$52+SUM($B$42:D42)+SUM($B$47:D47)-SUM($B$44:D44)-(SUM($B$50:D50)))*E40</f>
        <v>118566.71999999999</v>
      </c>
      <c r="F51" s="6">
        <f>($B$52+SUM($B$42:E42)+SUM($B$47:E47)-SUM($B$44:E44)-(SUM($B$50:E50)))*F40</f>
        <v>53537.759999999995</v>
      </c>
      <c r="G51" s="6">
        <f>($B$52+SUM($B$42:F42)+SUM($B$47:F47)-SUM($B$44:F44)-(SUM($B$50:F50)))*G40</f>
        <v>9368.84</v>
      </c>
      <c r="H51" s="6">
        <f>($B$52+SUM($B$42:G42)+SUM($B$47:G47)-SUM($B$44:G44)-(SUM($B$50:G50)))*H40</f>
        <v>107391.18000000002</v>
      </c>
      <c r="I51" s="6">
        <f>($B$52+SUM($B$42:H42)+SUM($B$47:H47)-SUM($B$44:H44)-(SUM($B$50:H50)))*I40</f>
        <v>13402.800000000007</v>
      </c>
      <c r="J51" s="6">
        <f>($B$52+SUM($B$42:I42)+SUM($B$47:I47)-SUM($B$44:I44)-(SUM($B$50:I50)))*J40</f>
        <v>85785.320000000036</v>
      </c>
      <c r="K51" s="6">
        <f>($B$52+SUM($B$42:J42)+SUM($B$47:J47)-SUM($B$44:J44)-(SUM($B$50:J50)))*K40</f>
        <v>7798.9200000000037</v>
      </c>
      <c r="L51" s="6">
        <f>($B$52+SUM($B$42:K42)+SUM($B$47:K47)-SUM($B$44:K44)-(SUM($B$50:K50)))*L40</f>
        <v>67896.48000000004</v>
      </c>
      <c r="M51" s="6">
        <f>($B$52+SUM($B$42:L42)+SUM($B$47:L47)-SUM($B$44:L44)-(SUM($B$50:L50)))*M40</f>
        <v>303395.16000000009</v>
      </c>
      <c r="N51" s="6">
        <f>($B$52+SUM($B$42:M42)+SUM($B$47:M47)-SUM($B$44:M44)-(SUM($B$50:M50)))*N40</f>
        <v>7357.4800000000005</v>
      </c>
      <c r="O51" s="6">
        <f>($B$52+SUM($B$42:N42)+SUM($B$47:N47)-SUM($B$44:N44)-(SUM($B$50:N50)))*O40</f>
        <v>4202.6400000000031</v>
      </c>
      <c r="P51" s="6">
        <f>($B$52+SUM($B$42:O42)+SUM($B$47:O47)-SUM($B$44:O44)-(SUM($B$50:O50)))*P40</f>
        <v>400560.30000000016</v>
      </c>
      <c r="Q51" s="6">
        <f>($B$52+SUM($B$42:P42)+SUM($B$47:P47)-SUM($B$44:P44)-(SUM($B$50:P50)))*Q40</f>
        <v>186940.32000000009</v>
      </c>
      <c r="R51" s="6">
        <f>($B$52+SUM($B$42:Q42)+SUM($B$47:Q47)-SUM($B$44:Q44)-(SUM($B$50:Q50)))*R40</f>
        <v>451.80000000003929</v>
      </c>
      <c r="S51" s="6">
        <f>($B$52+SUM($B$42:R42)+SUM($B$47:R47)-SUM($B$44:R44)-(SUM($B$50:R50)))*S40</f>
        <v>118650.93000000012</v>
      </c>
      <c r="T51" s="6">
        <f>($B$52+SUM($B$42:S42)+SUM($B$47:S47)-SUM($B$44:S44)-(SUM($B$50:S50)))*T40</f>
        <v>404.27100000002673</v>
      </c>
      <c r="U51" s="6">
        <f>($B$52+SUM($B$42:T42)+SUM($B$47:T47)-SUM($B$44:T44)-(SUM($B$50:T50)))*U40</f>
        <v>509.94300000003363</v>
      </c>
      <c r="V51" s="6">
        <f>($B$52+SUM($B$42:U42)+SUM($B$47:U47)-SUM($B$44:U44)-(SUM($B$50:U50)))*V40</f>
        <v>16100.890000000009</v>
      </c>
      <c r="W51" s="6">
        <f>($B$52+SUM($B$42:V42)+SUM($B$47:V47)-SUM($B$44:V44)-(SUM($B$50:V50)))*W40</f>
        <v>14138.410000000255</v>
      </c>
      <c r="X51" s="6">
        <f>($B$52+SUM($B$42:W42)+SUM($B$47:W47)-SUM($B$44:W44)-(SUM($B$50:W50)))*X40</f>
        <v>16301.350000000009</v>
      </c>
      <c r="Y51" s="6">
        <f>($B$52+SUM($B$42:X42)+SUM($B$47:X47)-SUM($B$44:X44)-(SUM($B$50:X50)))*Y40</f>
        <v>19712.940000000013</v>
      </c>
      <c r="Z51" s="6">
        <f>($B$52+SUM($B$42:Y42)+SUM($B$47:Y47)-SUM($B$44:Y44)-(SUM($B$50:Y50)))*Z40</f>
        <v>263494.92000000016</v>
      </c>
      <c r="AA51" s="6">
        <f>($B$52+SUM($B$42:Z42)+SUM($B$47:Z47)-SUM($B$44:Z44)-(SUM($B$50:Z50)))*AA40</f>
        <v>35962.440000000039</v>
      </c>
      <c r="AB51" s="6">
        <f>($B$52+SUM($B$42:AA42)+SUM($B$47:AA47)-SUM($B$44:AA44)-(SUM($B$50:AA50)))*AB40</f>
        <v>164580.0000000002</v>
      </c>
      <c r="AC51" s="6">
        <f>($B$52+SUM($B$42:AB42)+SUM($B$47:AB47)-SUM($B$44:AB44)-(SUM($B$50:AB50)))*AC40</f>
        <v>52953.120000000097</v>
      </c>
      <c r="AD51" s="6">
        <f>($B$52+SUM($B$42:AC42)+SUM($B$47:AC47)-SUM($B$44:AC44)-(SUM($B$50:AC50)))*AD40</f>
        <v>44637.600000000057</v>
      </c>
      <c r="AE51" s="6">
        <f>($B$52+SUM($B$42:AD42)+SUM($B$47:AD47)-SUM($B$44:AD44)-(SUM($B$50:AD50)))*AE40</f>
        <v>69085.040000000052</v>
      </c>
      <c r="AF51" s="6">
        <f>($B$52+SUM($B$42:AE42)+SUM($B$47:AE47)-SUM($B$44:AE44)-(SUM($B$50:AE50)))*AF40</f>
        <v>306025.8000000001</v>
      </c>
      <c r="AG51" s="6">
        <f>($B$52+SUM($B$42:AF42)+SUM($B$47:AF47)-SUM($B$44:AF44)-(SUM($B$50:AF50)))*AG40</f>
        <v>3410.8800000000047</v>
      </c>
      <c r="AH51" s="6">
        <f>($B$52+SUM($B$42:AG42)+SUM($B$47:AG47)-SUM($B$44:AG44)-(SUM($B$50:AG50)))*AH40</f>
        <v>4297.1800000000076</v>
      </c>
      <c r="AI51" s="6">
        <f>($B$52+SUM($B$42:AH42)+SUM($B$47:AH47)-SUM($B$44:AH44)-(SUM($B$50:AH50)))*AI40</f>
        <v>99060.752000000386</v>
      </c>
      <c r="AJ51" s="6">
        <f>($B$52+SUM($B$42:AI42)+SUM($B$47:AI47)-SUM($B$44:AI44)-(SUM($B$50:AI50)))*AJ40</f>
        <v>79794.288000000219</v>
      </c>
      <c r="AK51" s="6">
        <f>($B$52+SUM($B$42:AJ42)+SUM($B$47:AJ47)-SUM($B$44:AJ44)-(SUM($B$50:AJ50)))*AK40</f>
        <v>11019.268000000018</v>
      </c>
      <c r="AL51" s="6">
        <f>($B$52+SUM($B$42:AK42)+SUM($B$47:AK47)-SUM($B$44:AK44)-(SUM($B$50:AK50)))*AL40</f>
        <v>146257.04600000018</v>
      </c>
      <c r="AM51" s="6">
        <f>($B$52+SUM($B$42:AL42)+SUM($B$47:AL47)-SUM($B$44:AL44)-(SUM($B$50:AL50)))*AM40</f>
        <v>2411.8911999998668</v>
      </c>
      <c r="AN51" s="6">
        <f>($B$52+SUM($B$42:AM42)+SUM($B$47:AM47)-SUM($B$44:AM44)-(SUM($B$50:AM50)))*AN40</f>
        <v>2411.8911999998668</v>
      </c>
      <c r="AP51" s="6"/>
    </row>
    <row r="52" spans="1:42" x14ac:dyDescent="0.3">
      <c r="A52" s="16" t="s">
        <v>49</v>
      </c>
      <c r="B52" s="5">
        <f>13*F57+5*F55</f>
        <v>86.5</v>
      </c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P52" s="6"/>
    </row>
    <row r="53" spans="1:42" x14ac:dyDescent="0.3">
      <c r="A53" s="12" t="s">
        <v>44</v>
      </c>
      <c r="B53" s="7">
        <f>SUM(B51:AN51)</f>
        <v>2843630.5344000021</v>
      </c>
      <c r="C53" s="5"/>
      <c r="D53" s="6"/>
      <c r="E53" s="6"/>
      <c r="F53" s="6"/>
      <c r="G53" s="6"/>
      <c r="H53" s="6"/>
      <c r="I53" s="6"/>
      <c r="J53" s="6"/>
      <c r="K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P53" s="6"/>
    </row>
    <row r="54" spans="1:42" x14ac:dyDescent="0.3">
      <c r="A54" s="12" t="s">
        <v>48</v>
      </c>
      <c r="B54" s="5">
        <v>2200</v>
      </c>
      <c r="C54" s="5"/>
      <c r="D54" s="6"/>
      <c r="E54" s="6" t="s">
        <v>80</v>
      </c>
      <c r="F54" s="6">
        <v>11</v>
      </c>
      <c r="G54" s="6"/>
      <c r="H54" s="6"/>
      <c r="I54" s="6"/>
      <c r="J54" s="6"/>
      <c r="K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P54" s="6"/>
    </row>
    <row r="55" spans="1:42" x14ac:dyDescent="0.3">
      <c r="A55" s="12" t="s">
        <v>45</v>
      </c>
      <c r="B55" s="5">
        <f>B54*B32</f>
        <v>7947500</v>
      </c>
      <c r="C55" s="5"/>
      <c r="D55" s="6"/>
      <c r="E55" s="6" t="s">
        <v>81</v>
      </c>
      <c r="F55" s="6">
        <v>1.7</v>
      </c>
      <c r="G55" s="6"/>
      <c r="H55" s="6"/>
      <c r="I55" s="6"/>
      <c r="J55" s="6"/>
      <c r="K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42" x14ac:dyDescent="0.3">
      <c r="A56" s="13" t="s">
        <v>47</v>
      </c>
      <c r="B56" s="8">
        <f>B53/B55</f>
        <v>0.35780189171437587</v>
      </c>
      <c r="C56" s="5"/>
      <c r="D56" s="6"/>
      <c r="E56" s="6" t="s">
        <v>82</v>
      </c>
      <c r="F56" s="6">
        <v>6</v>
      </c>
      <c r="G56" s="6"/>
      <c r="H56" s="6"/>
      <c r="I56" s="6"/>
      <c r="J56" s="6"/>
      <c r="K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42" x14ac:dyDescent="0.3">
      <c r="B57" s="8">
        <f>1-B56</f>
        <v>0.64219810828562407</v>
      </c>
      <c r="E57" s="6" t="s">
        <v>83</v>
      </c>
      <c r="F57" s="6">
        <v>6</v>
      </c>
      <c r="R57" s="2"/>
    </row>
    <row r="58" spans="1:42" x14ac:dyDescent="0.3">
      <c r="A58" s="12"/>
      <c r="C58" s="2"/>
      <c r="E58" s="6" t="s">
        <v>84</v>
      </c>
      <c r="F58" s="6">
        <v>30</v>
      </c>
      <c r="R58" s="2"/>
    </row>
    <row r="59" spans="1:42" x14ac:dyDescent="0.3">
      <c r="A59" s="12"/>
      <c r="C59" s="2"/>
      <c r="E59" s="6"/>
      <c r="F59" s="6"/>
      <c r="R59" s="2"/>
    </row>
    <row r="60" spans="1:42" x14ac:dyDescent="0.3">
      <c r="A60" s="12"/>
      <c r="C60" s="2"/>
      <c r="E60" s="6"/>
      <c r="F60" s="6"/>
      <c r="R60" s="2"/>
    </row>
    <row r="61" spans="1:42" x14ac:dyDescent="0.3">
      <c r="A61" s="12"/>
      <c r="C61" s="2"/>
      <c r="E61" s="6"/>
      <c r="F61" s="6"/>
      <c r="R61" s="2"/>
    </row>
    <row r="62" spans="1:42" x14ac:dyDescent="0.3">
      <c r="A62" s="12"/>
      <c r="C62" s="2"/>
      <c r="E62" s="6"/>
      <c r="F62" s="6"/>
      <c r="R62" s="2"/>
    </row>
    <row r="63" spans="1:42" x14ac:dyDescent="0.3">
      <c r="A63" s="12"/>
      <c r="C63" s="2"/>
      <c r="E63" s="6"/>
      <c r="F63" s="6"/>
      <c r="R63" s="2"/>
    </row>
    <row r="64" spans="1:42" x14ac:dyDescent="0.3">
      <c r="A64" s="12"/>
      <c r="C64" s="2"/>
      <c r="E64" s="6"/>
      <c r="F64" s="6"/>
      <c r="R64" s="2"/>
    </row>
    <row r="65" spans="1:18" x14ac:dyDescent="0.3">
      <c r="A65" s="12"/>
      <c r="C65" s="2"/>
      <c r="E65" s="6"/>
      <c r="F65" s="6"/>
      <c r="R65" s="2"/>
    </row>
    <row r="66" spans="1:18" x14ac:dyDescent="0.3">
      <c r="A66" s="12"/>
      <c r="C66" s="2"/>
      <c r="E66" s="6"/>
      <c r="F66" s="6"/>
      <c r="R66" s="2"/>
    </row>
    <row r="67" spans="1:18" x14ac:dyDescent="0.3">
      <c r="A67" s="12"/>
      <c r="C67" s="2"/>
      <c r="E67" s="6"/>
      <c r="F67" s="6"/>
      <c r="R67" s="2"/>
    </row>
    <row r="68" spans="1:18" x14ac:dyDescent="0.3">
      <c r="A68" s="12"/>
      <c r="C68" s="2"/>
      <c r="E68" s="6"/>
      <c r="F68" s="6"/>
      <c r="R68" s="2"/>
    </row>
    <row r="69" spans="1:18" x14ac:dyDescent="0.3">
      <c r="A69" s="12"/>
      <c r="C69" s="2"/>
      <c r="E69" s="6"/>
      <c r="F69" s="6"/>
      <c r="R69" s="2"/>
    </row>
    <row r="70" spans="1:18" x14ac:dyDescent="0.3">
      <c r="A70" s="12"/>
      <c r="C70" s="2"/>
      <c r="E70" s="6"/>
      <c r="F70" s="6"/>
      <c r="R70" s="2"/>
    </row>
    <row r="71" spans="1:18" x14ac:dyDescent="0.3">
      <c r="A71" s="12"/>
      <c r="C71" s="2"/>
      <c r="E71" s="6"/>
      <c r="F71" s="6"/>
      <c r="R71" s="2"/>
    </row>
    <row r="72" spans="1:18" ht="15" thickBot="1" x14ac:dyDescent="0.35"/>
    <row r="73" spans="1:18" ht="18.600000000000001" thickBot="1" x14ac:dyDescent="0.4">
      <c r="A73" s="17" t="s">
        <v>52</v>
      </c>
    </row>
    <row r="74" spans="1:18" x14ac:dyDescent="0.3">
      <c r="A74" s="14"/>
    </row>
    <row r="75" spans="1:18" x14ac:dyDescent="0.3">
      <c r="A75" s="13" t="s">
        <v>54</v>
      </c>
      <c r="B75" s="3">
        <f>SUM(B42:AM42)+SUM(B47:AM47)+B52</f>
        <v>9701.6960000000017</v>
      </c>
    </row>
    <row r="76" spans="1:18" x14ac:dyDescent="0.3">
      <c r="A76" s="13" t="s">
        <v>53</v>
      </c>
      <c r="B76" s="3">
        <f>B53/B32</f>
        <v>787.16416177162682</v>
      </c>
    </row>
    <row r="78" spans="1:18" ht="15" thickBot="1" x14ac:dyDescent="0.35"/>
    <row r="79" spans="1:18" ht="18.600000000000001" thickBot="1" x14ac:dyDescent="0.4">
      <c r="A79" s="17" t="s">
        <v>55</v>
      </c>
    </row>
    <row r="80" spans="1:18" x14ac:dyDescent="0.3">
      <c r="A80" s="14"/>
    </row>
    <row r="81" spans="1:40" x14ac:dyDescent="0.3">
      <c r="A81" s="12" t="s">
        <v>36</v>
      </c>
      <c r="B81" t="s">
        <v>0</v>
      </c>
      <c r="C81" t="s">
        <v>1</v>
      </c>
      <c r="D81" t="s">
        <v>2</v>
      </c>
      <c r="E81" t="s">
        <v>3</v>
      </c>
      <c r="F81" t="s">
        <v>2</v>
      </c>
      <c r="G81" t="s">
        <v>0</v>
      </c>
      <c r="H81" t="s">
        <v>4</v>
      </c>
      <c r="I81" t="s">
        <v>5</v>
      </c>
      <c r="J81" t="s">
        <v>0</v>
      </c>
      <c r="K81" t="s">
        <v>6</v>
      </c>
      <c r="L81" t="s">
        <v>7</v>
      </c>
      <c r="M81" t="s">
        <v>2</v>
      </c>
      <c r="N81" t="s">
        <v>0</v>
      </c>
      <c r="O81" t="s">
        <v>1</v>
      </c>
      <c r="P81" t="s">
        <v>8</v>
      </c>
      <c r="Q81" t="s">
        <v>4</v>
      </c>
      <c r="R81" t="s">
        <v>5</v>
      </c>
      <c r="S81" t="s">
        <v>1</v>
      </c>
      <c r="T81" t="s">
        <v>2</v>
      </c>
      <c r="U81" t="s">
        <v>1</v>
      </c>
      <c r="V81" t="s">
        <v>0</v>
      </c>
      <c r="W81" t="s">
        <v>2</v>
      </c>
      <c r="X81" t="s">
        <v>0</v>
      </c>
      <c r="Y81" t="s">
        <v>1</v>
      </c>
      <c r="Z81" t="s">
        <v>4</v>
      </c>
      <c r="AA81" t="s">
        <v>31</v>
      </c>
      <c r="AB81" t="s">
        <v>8</v>
      </c>
      <c r="AC81" t="s">
        <v>5</v>
      </c>
      <c r="AD81" t="s">
        <v>4</v>
      </c>
      <c r="AE81" t="s">
        <v>1</v>
      </c>
      <c r="AF81" t="s">
        <v>8</v>
      </c>
      <c r="AG81" t="s">
        <v>7</v>
      </c>
      <c r="AH81" t="s">
        <v>10</v>
      </c>
      <c r="AI81" t="s">
        <v>31</v>
      </c>
      <c r="AJ81" t="s">
        <v>1</v>
      </c>
      <c r="AK81" t="s">
        <v>0</v>
      </c>
      <c r="AL81" t="s">
        <v>4</v>
      </c>
      <c r="AM81" t="s">
        <v>11</v>
      </c>
      <c r="AN81" t="s">
        <v>4</v>
      </c>
    </row>
    <row r="82" spans="1:40" x14ac:dyDescent="0.3">
      <c r="A82" s="12" t="s">
        <v>57</v>
      </c>
      <c r="B82" s="2">
        <v>2</v>
      </c>
      <c r="C82" s="2">
        <v>16.5</v>
      </c>
      <c r="D82" s="2">
        <v>6</v>
      </c>
      <c r="E82" s="2">
        <v>10.33</v>
      </c>
      <c r="F82" s="2">
        <v>17.5</v>
      </c>
      <c r="G82" s="2">
        <v>13</v>
      </c>
      <c r="H82" s="2">
        <v>5</v>
      </c>
      <c r="I82" s="2">
        <v>6.33</v>
      </c>
      <c r="J82" s="2">
        <v>2.5</v>
      </c>
      <c r="K82" s="2">
        <v>20.420000000000002</v>
      </c>
      <c r="L82" s="2">
        <v>63.42</v>
      </c>
      <c r="M82" s="2">
        <v>14.42</v>
      </c>
      <c r="N82" s="2">
        <v>8.92</v>
      </c>
      <c r="O82" s="2">
        <v>28.17</v>
      </c>
      <c r="P82" s="2">
        <v>2.83</v>
      </c>
      <c r="Q82" s="2">
        <v>11.5</v>
      </c>
      <c r="R82" s="2">
        <v>3.42</v>
      </c>
      <c r="S82" s="2">
        <v>0.67</v>
      </c>
      <c r="T82" s="2">
        <v>3.25</v>
      </c>
      <c r="U82" s="2">
        <v>5.33</v>
      </c>
      <c r="V82" s="2">
        <v>2</v>
      </c>
      <c r="W82" s="2">
        <v>2.25</v>
      </c>
      <c r="X82" s="2">
        <v>2.5</v>
      </c>
      <c r="Y82" s="2">
        <v>8.25</v>
      </c>
      <c r="Z82" s="2">
        <v>12.92</v>
      </c>
      <c r="AA82" s="2">
        <v>2.42</v>
      </c>
      <c r="AB82" s="2">
        <v>4.33</v>
      </c>
      <c r="AC82" s="2">
        <v>5</v>
      </c>
      <c r="AD82" s="2">
        <v>2.5</v>
      </c>
      <c r="AE82" s="2">
        <v>23</v>
      </c>
      <c r="AF82" s="2">
        <v>29.25</v>
      </c>
      <c r="AG82" s="2">
        <v>5.33</v>
      </c>
      <c r="AH82" s="2">
        <v>5.75</v>
      </c>
      <c r="AI82" s="2">
        <v>8.08</v>
      </c>
      <c r="AJ82" s="2">
        <v>5</v>
      </c>
      <c r="AK82" s="2">
        <v>8.6199999999999992</v>
      </c>
      <c r="AL82" s="2">
        <v>8.58</v>
      </c>
      <c r="AM82" s="2">
        <v>4.75</v>
      </c>
      <c r="AN82" s="2">
        <v>18.100000000000001</v>
      </c>
    </row>
    <row r="83" spans="1:40" x14ac:dyDescent="0.3">
      <c r="A83" s="12" t="s">
        <v>58</v>
      </c>
      <c r="B83" s="2">
        <f>SUM(B82:AN82)</f>
        <v>400.14</v>
      </c>
    </row>
    <row r="84" spans="1:40" x14ac:dyDescent="0.3">
      <c r="A84" s="12" t="s">
        <v>60</v>
      </c>
      <c r="B84">
        <v>754.77</v>
      </c>
    </row>
    <row r="85" spans="1:40" x14ac:dyDescent="0.3">
      <c r="A85" s="12" t="s">
        <v>59</v>
      </c>
      <c r="B85" s="2">
        <f>B84-B83</f>
        <v>354.63</v>
      </c>
    </row>
    <row r="86" spans="1:40" x14ac:dyDescent="0.3">
      <c r="A86" s="13" t="s">
        <v>56</v>
      </c>
      <c r="B86" s="2">
        <v>11.8</v>
      </c>
    </row>
    <row r="87" spans="1:40" x14ac:dyDescent="0.3">
      <c r="A87" s="13" t="s">
        <v>62</v>
      </c>
      <c r="B87" s="2">
        <v>9.8000000000000007</v>
      </c>
    </row>
    <row r="88" spans="1:40" x14ac:dyDescent="0.3">
      <c r="A88" s="13" t="s">
        <v>61</v>
      </c>
      <c r="B88" s="2">
        <f>B32/B85</f>
        <v>10.18667343428362</v>
      </c>
    </row>
    <row r="89" spans="1:40" x14ac:dyDescent="0.3">
      <c r="A89" s="13" t="s">
        <v>63</v>
      </c>
      <c r="B89" s="10">
        <f>B88/B87-1</f>
        <v>3.945647288608356E-2</v>
      </c>
    </row>
    <row r="91" spans="1:40" ht="15" thickBot="1" x14ac:dyDescent="0.35"/>
    <row r="92" spans="1:40" ht="18.600000000000001" thickBot="1" x14ac:dyDescent="0.4">
      <c r="A92" s="17" t="s">
        <v>64</v>
      </c>
    </row>
    <row r="94" spans="1:40" x14ac:dyDescent="0.3">
      <c r="A94" s="13" t="s">
        <v>57</v>
      </c>
      <c r="B94" s="8">
        <f>B83/B84</f>
        <v>0.53014825708493973</v>
      </c>
    </row>
    <row r="95" spans="1:40" x14ac:dyDescent="0.3">
      <c r="A95" s="13" t="s">
        <v>59</v>
      </c>
      <c r="B95" s="8">
        <f>B85/B84</f>
        <v>0.46985174291506021</v>
      </c>
    </row>
    <row r="106" spans="1:40" ht="15" thickBot="1" x14ac:dyDescent="0.35"/>
    <row r="107" spans="1:40" ht="18.600000000000001" thickBot="1" x14ac:dyDescent="0.4">
      <c r="A107" s="17" t="s">
        <v>65</v>
      </c>
    </row>
    <row r="108" spans="1:40" x14ac:dyDescent="0.3">
      <c r="A108"/>
    </row>
    <row r="109" spans="1:40" x14ac:dyDescent="0.3">
      <c r="A109" t="s">
        <v>36</v>
      </c>
      <c r="B109" t="s">
        <v>0</v>
      </c>
      <c r="C109" t="s">
        <v>1</v>
      </c>
      <c r="D109" t="s">
        <v>2</v>
      </c>
      <c r="E109" t="s">
        <v>3</v>
      </c>
      <c r="F109" t="s">
        <v>2</v>
      </c>
      <c r="G109" t="s">
        <v>0</v>
      </c>
      <c r="H109" t="s">
        <v>4</v>
      </c>
      <c r="I109" t="s">
        <v>5</v>
      </c>
      <c r="J109" t="s">
        <v>0</v>
      </c>
      <c r="K109" t="s">
        <v>6</v>
      </c>
      <c r="L109" t="s">
        <v>7</v>
      </c>
      <c r="M109" t="s">
        <v>2</v>
      </c>
      <c r="N109" t="s">
        <v>0</v>
      </c>
      <c r="O109" t="s">
        <v>1</v>
      </c>
      <c r="P109" t="s">
        <v>8</v>
      </c>
      <c r="Q109" t="s">
        <v>4</v>
      </c>
      <c r="R109" t="s">
        <v>5</v>
      </c>
      <c r="S109" t="s">
        <v>1</v>
      </c>
      <c r="T109" t="s">
        <v>2</v>
      </c>
      <c r="U109" t="s">
        <v>1</v>
      </c>
      <c r="V109" t="s">
        <v>0</v>
      </c>
      <c r="W109" t="s">
        <v>2</v>
      </c>
      <c r="X109" t="s">
        <v>0</v>
      </c>
      <c r="Y109" t="s">
        <v>1</v>
      </c>
      <c r="Z109" t="s">
        <v>4</v>
      </c>
      <c r="AA109" t="s">
        <v>31</v>
      </c>
      <c r="AB109" t="s">
        <v>8</v>
      </c>
      <c r="AC109" t="s">
        <v>5</v>
      </c>
      <c r="AD109" t="s">
        <v>4</v>
      </c>
      <c r="AE109" t="s">
        <v>1</v>
      </c>
      <c r="AF109" t="s">
        <v>8</v>
      </c>
      <c r="AG109" t="s">
        <v>7</v>
      </c>
      <c r="AH109" t="s">
        <v>10</v>
      </c>
      <c r="AI109" t="s">
        <v>31</v>
      </c>
      <c r="AJ109" t="s">
        <v>1</v>
      </c>
      <c r="AK109" t="s">
        <v>0</v>
      </c>
      <c r="AL109" t="s">
        <v>4</v>
      </c>
      <c r="AM109" t="s">
        <v>11</v>
      </c>
      <c r="AN109" t="s">
        <v>4</v>
      </c>
    </row>
    <row r="110" spans="1:40" x14ac:dyDescent="0.3">
      <c r="A110" t="s">
        <v>68</v>
      </c>
      <c r="B110" s="2">
        <v>1.25</v>
      </c>
      <c r="C110" s="2">
        <v>12</v>
      </c>
      <c r="D110" s="2">
        <v>4.67</v>
      </c>
      <c r="E110" s="2"/>
      <c r="F110" s="2">
        <v>1.58</v>
      </c>
      <c r="G110" s="2">
        <v>5</v>
      </c>
      <c r="H110" s="2"/>
      <c r="I110" s="2">
        <v>1.33</v>
      </c>
      <c r="J110" s="2"/>
      <c r="K110" s="2"/>
      <c r="L110" s="2">
        <v>5.6</v>
      </c>
      <c r="M110" s="2">
        <v>3.75</v>
      </c>
      <c r="N110" s="2">
        <v>4</v>
      </c>
      <c r="O110" s="2">
        <v>10.17</v>
      </c>
      <c r="P110" s="2"/>
      <c r="Q110" s="2"/>
      <c r="R110" s="2"/>
      <c r="S110" s="2"/>
      <c r="T110" s="2">
        <v>1.75</v>
      </c>
      <c r="U110" s="2">
        <v>5.75</v>
      </c>
      <c r="V110" s="2"/>
      <c r="W110" s="2">
        <v>1.4166669999999999</v>
      </c>
      <c r="X110" s="2">
        <v>1.9166669999999999</v>
      </c>
      <c r="Y110" s="2"/>
      <c r="Z110" s="2"/>
      <c r="AA110" s="2"/>
      <c r="AB110" s="2"/>
      <c r="AC110" s="2"/>
      <c r="AD110" s="2"/>
      <c r="AE110" s="2">
        <v>17.25</v>
      </c>
      <c r="AF110" s="2"/>
      <c r="AG110" s="2">
        <v>3.48</v>
      </c>
      <c r="AH110" s="2"/>
      <c r="AI110" s="2">
        <v>2</v>
      </c>
      <c r="AJ110" s="2"/>
      <c r="AK110" s="2">
        <v>2.58</v>
      </c>
      <c r="AL110" s="2"/>
      <c r="AM110" s="2"/>
      <c r="AN110" s="2">
        <v>10.582330000000001</v>
      </c>
    </row>
    <row r="111" spans="1:40" x14ac:dyDescent="0.3">
      <c r="A111" t="s">
        <v>69</v>
      </c>
      <c r="B111" s="2"/>
      <c r="C111" s="2">
        <v>2.17</v>
      </c>
      <c r="D111" s="2"/>
      <c r="E111" s="2">
        <v>7</v>
      </c>
      <c r="F111" s="2"/>
      <c r="G111" s="2">
        <v>2.59</v>
      </c>
      <c r="H111" s="2">
        <v>3.5</v>
      </c>
      <c r="I111" s="2"/>
      <c r="J111" s="2">
        <v>1.8333299999999999</v>
      </c>
      <c r="K111" s="2"/>
      <c r="L111" s="2"/>
      <c r="M111" s="2">
        <v>4.84</v>
      </c>
      <c r="N111" s="2">
        <v>3.41</v>
      </c>
      <c r="O111" s="2"/>
      <c r="P111" s="2">
        <v>2.17</v>
      </c>
      <c r="Q111" s="2">
        <v>5.75</v>
      </c>
      <c r="R111" s="2"/>
      <c r="S111" s="2"/>
      <c r="T111" s="2"/>
      <c r="U111" s="2"/>
      <c r="V111" s="2">
        <v>1.25</v>
      </c>
      <c r="W111" s="2"/>
      <c r="X111" s="2"/>
      <c r="Y111" s="2"/>
      <c r="Z111" s="2"/>
      <c r="AA111" s="2">
        <v>1.33</v>
      </c>
      <c r="AB111" s="2">
        <v>3.5</v>
      </c>
      <c r="AC111" s="2"/>
      <c r="AD111" s="2"/>
      <c r="AE111" s="2">
        <v>1.5</v>
      </c>
      <c r="AF111" s="2">
        <v>4.25</v>
      </c>
      <c r="AG111" s="2"/>
      <c r="AH111" s="2">
        <v>4.95</v>
      </c>
      <c r="AI111" s="2"/>
      <c r="AJ111" s="2"/>
      <c r="AK111" s="2"/>
      <c r="AL111" s="2">
        <v>2.25</v>
      </c>
      <c r="AM111" s="2"/>
      <c r="AN111" s="2">
        <v>4.8333000000000004</v>
      </c>
    </row>
    <row r="112" spans="1:40" x14ac:dyDescent="0.3">
      <c r="A112" t="s">
        <v>70</v>
      </c>
      <c r="B112" s="2"/>
      <c r="C112" s="2"/>
      <c r="D112" s="2"/>
      <c r="E112" s="2"/>
      <c r="F112" s="2"/>
      <c r="G112" s="2"/>
      <c r="H112" s="2"/>
      <c r="I112" s="2"/>
      <c r="J112" s="2"/>
      <c r="K112" s="2">
        <v>14.42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>
        <v>2.83</v>
      </c>
      <c r="AN112" s="2"/>
    </row>
    <row r="113" spans="1:40" x14ac:dyDescent="0.3">
      <c r="A113" t="s">
        <v>71</v>
      </c>
      <c r="B113" s="2"/>
      <c r="C113" s="2">
        <v>0.75</v>
      </c>
      <c r="D113" s="2">
        <v>0.1</v>
      </c>
      <c r="E113" s="2"/>
      <c r="F113" s="2"/>
      <c r="G113" s="2"/>
      <c r="H113" s="2"/>
      <c r="I113" s="2">
        <v>0.1</v>
      </c>
      <c r="J113" s="2"/>
      <c r="K113" s="2"/>
      <c r="L113" s="2">
        <v>0.5</v>
      </c>
      <c r="M113" s="2"/>
      <c r="N113" s="2"/>
      <c r="O113" s="2">
        <v>0.75</v>
      </c>
      <c r="P113" s="2"/>
      <c r="Q113" s="2">
        <v>0.75</v>
      </c>
      <c r="R113" s="2">
        <v>3.42</v>
      </c>
      <c r="S113" s="2">
        <v>0.55000000000000004</v>
      </c>
      <c r="T113" s="2"/>
      <c r="U113" s="2"/>
      <c r="V113" s="2"/>
      <c r="W113" s="2"/>
      <c r="X113" s="2"/>
      <c r="Y113" s="2">
        <f>0.5+0.75</f>
        <v>1.25</v>
      </c>
      <c r="Z113" s="2">
        <f>0.55+0.75+0.95</f>
        <v>2.25</v>
      </c>
      <c r="AA113" s="2"/>
      <c r="AB113" s="2"/>
      <c r="AC113" s="2">
        <v>4.41</v>
      </c>
      <c r="AD113" s="2">
        <v>2</v>
      </c>
      <c r="AE113" s="2">
        <v>1.9</v>
      </c>
      <c r="AF113" s="2"/>
      <c r="AG113" s="2">
        <v>0.155</v>
      </c>
      <c r="AH113" s="2"/>
      <c r="AI113" s="2"/>
      <c r="AJ113" s="2">
        <v>4.75</v>
      </c>
      <c r="AK113" s="2"/>
      <c r="AL113" s="2">
        <v>2.92</v>
      </c>
      <c r="AM113" s="2"/>
      <c r="AN113" s="2"/>
    </row>
    <row r="114" spans="1:40" x14ac:dyDescent="0.3">
      <c r="A114" t="s">
        <v>72</v>
      </c>
      <c r="B114" s="15">
        <f>B82-B110-B111-B112-B113</f>
        <v>0.75</v>
      </c>
      <c r="C114" s="15">
        <f>C82-C110-C111-C112-C113</f>
        <v>1.58</v>
      </c>
      <c r="D114" s="15">
        <f t="shared" ref="D114:AL114" si="27">D82-D110-D111-D112-D113</f>
        <v>1.23</v>
      </c>
      <c r="E114" s="15">
        <f t="shared" si="27"/>
        <v>3.33</v>
      </c>
      <c r="F114" s="15">
        <f t="shared" si="27"/>
        <v>15.92</v>
      </c>
      <c r="G114" s="15">
        <f t="shared" si="27"/>
        <v>5.41</v>
      </c>
      <c r="H114" s="15">
        <f t="shared" si="27"/>
        <v>1.5</v>
      </c>
      <c r="I114" s="15">
        <f t="shared" si="27"/>
        <v>4.9000000000000004</v>
      </c>
      <c r="J114" s="15">
        <f t="shared" si="27"/>
        <v>0.6666700000000001</v>
      </c>
      <c r="K114" s="15">
        <f t="shared" si="27"/>
        <v>6.0000000000000018</v>
      </c>
      <c r="L114" s="15">
        <f t="shared" si="27"/>
        <v>57.32</v>
      </c>
      <c r="M114" s="15">
        <f t="shared" si="27"/>
        <v>5.83</v>
      </c>
      <c r="N114" s="15">
        <f t="shared" si="27"/>
        <v>1.5099999999999998</v>
      </c>
      <c r="O114" s="15">
        <f t="shared" si="27"/>
        <v>17.25</v>
      </c>
      <c r="P114" s="15">
        <f t="shared" si="27"/>
        <v>0.66000000000000014</v>
      </c>
      <c r="Q114" s="15">
        <f t="shared" si="27"/>
        <v>5</v>
      </c>
      <c r="R114" s="15"/>
      <c r="S114" s="15">
        <f t="shared" si="27"/>
        <v>0.12</v>
      </c>
      <c r="T114" s="15">
        <f t="shared" si="27"/>
        <v>1.5</v>
      </c>
      <c r="U114" s="15">
        <f t="shared" si="27"/>
        <v>-0.41999999999999993</v>
      </c>
      <c r="V114" s="15">
        <f t="shared" si="27"/>
        <v>0.75</v>
      </c>
      <c r="W114" s="15">
        <f t="shared" si="27"/>
        <v>0.8333330000000001</v>
      </c>
      <c r="X114" s="15">
        <f t="shared" si="27"/>
        <v>0.5833330000000001</v>
      </c>
      <c r="Y114" s="15">
        <f t="shared" si="27"/>
        <v>7</v>
      </c>
      <c r="Z114" s="15">
        <f t="shared" si="27"/>
        <v>10.67</v>
      </c>
      <c r="AA114" s="15">
        <f t="shared" si="27"/>
        <v>1.0899999999999999</v>
      </c>
      <c r="AB114" s="15">
        <f t="shared" si="27"/>
        <v>0.83000000000000007</v>
      </c>
      <c r="AC114" s="15">
        <f t="shared" si="27"/>
        <v>0.58999999999999986</v>
      </c>
      <c r="AD114" s="15">
        <f t="shared" si="27"/>
        <v>0.5</v>
      </c>
      <c r="AE114" s="15">
        <f t="shared" si="27"/>
        <v>2.35</v>
      </c>
      <c r="AF114" s="15">
        <f t="shared" si="27"/>
        <v>25</v>
      </c>
      <c r="AG114" s="15">
        <f t="shared" si="27"/>
        <v>1.6950000000000001</v>
      </c>
      <c r="AH114" s="15">
        <f t="shared" si="27"/>
        <v>0.79999999999999982</v>
      </c>
      <c r="AI114" s="15">
        <f t="shared" si="27"/>
        <v>6.08</v>
      </c>
      <c r="AJ114" s="15">
        <f t="shared" si="27"/>
        <v>0.25</v>
      </c>
      <c r="AK114" s="15">
        <f t="shared" si="27"/>
        <v>6.0399999999999991</v>
      </c>
      <c r="AL114" s="15">
        <f t="shared" si="27"/>
        <v>3.41</v>
      </c>
      <c r="AM114" s="15">
        <f>AM82-AM110-AM111-AM112-AM113</f>
        <v>1.92</v>
      </c>
      <c r="AN114" s="15">
        <f>AN82-AN110-AN111-AN112-AN113</f>
        <v>2.6843700000000004</v>
      </c>
    </row>
    <row r="115" spans="1:40" x14ac:dyDescent="0.3">
      <c r="A115" s="12" t="s">
        <v>73</v>
      </c>
      <c r="B115">
        <f>SUM(110:110)</f>
        <v>96.075664000000003</v>
      </c>
    </row>
    <row r="116" spans="1:40" x14ac:dyDescent="0.3">
      <c r="A116" s="12" t="s">
        <v>86</v>
      </c>
      <c r="B116">
        <f t="shared" ref="B116:B119" si="28">SUM(111:111)</f>
        <v>57.126629999999999</v>
      </c>
    </row>
    <row r="117" spans="1:40" x14ac:dyDescent="0.3">
      <c r="A117" s="16" t="s">
        <v>74</v>
      </c>
      <c r="B117">
        <f t="shared" si="28"/>
        <v>17.25</v>
      </c>
    </row>
    <row r="118" spans="1:40" x14ac:dyDescent="0.3">
      <c r="A118" s="16" t="s">
        <v>75</v>
      </c>
      <c r="B118">
        <f t="shared" si="28"/>
        <v>26.555</v>
      </c>
    </row>
    <row r="119" spans="1:40" x14ac:dyDescent="0.3">
      <c r="A119" s="16" t="s">
        <v>76</v>
      </c>
      <c r="B119">
        <f t="shared" si="28"/>
        <v>203.13270600000004</v>
      </c>
    </row>
    <row r="120" spans="1:40" x14ac:dyDescent="0.3">
      <c r="A120" s="13" t="s">
        <v>87</v>
      </c>
      <c r="B120" s="8">
        <f>(B115+B116)/B83</f>
        <v>0.38287172989453694</v>
      </c>
    </row>
    <row r="121" spans="1:40" x14ac:dyDescent="0.3">
      <c r="A121" s="13" t="s">
        <v>91</v>
      </c>
      <c r="B121" s="8">
        <f t="shared" ref="B121:B123" si="29">B117/$B$83</f>
        <v>4.3109911530964162E-2</v>
      </c>
    </row>
    <row r="122" spans="1:40" x14ac:dyDescent="0.3">
      <c r="A122" s="13" t="s">
        <v>88</v>
      </c>
      <c r="B122" s="8">
        <f t="shared" si="29"/>
        <v>6.6364272504623387E-2</v>
      </c>
    </row>
    <row r="123" spans="1:40" x14ac:dyDescent="0.3">
      <c r="A123" s="13" t="s">
        <v>67</v>
      </c>
      <c r="B123" s="8">
        <f t="shared" si="29"/>
        <v>0.50765408606987561</v>
      </c>
    </row>
    <row r="133" spans="1:7" ht="15" thickBot="1" x14ac:dyDescent="0.35"/>
    <row r="134" spans="1:7" ht="18.600000000000001" thickBot="1" x14ac:dyDescent="0.4">
      <c r="A134" s="17" t="s">
        <v>126</v>
      </c>
    </row>
    <row r="136" spans="1:7" x14ac:dyDescent="0.3">
      <c r="A136" s="12" t="s">
        <v>135</v>
      </c>
      <c r="B136">
        <v>4824</v>
      </c>
      <c r="E136" t="s">
        <v>138</v>
      </c>
      <c r="F136">
        <v>0.85</v>
      </c>
      <c r="G136" t="s">
        <v>136</v>
      </c>
    </row>
    <row r="137" spans="1:7" x14ac:dyDescent="0.3">
      <c r="A137" s="12" t="s">
        <v>127</v>
      </c>
      <c r="B137">
        <v>1125</v>
      </c>
      <c r="E137" t="s">
        <v>133</v>
      </c>
      <c r="F137">
        <v>8.3800000000000008</v>
      </c>
    </row>
    <row r="138" spans="1:7" x14ac:dyDescent="0.3">
      <c r="A138" s="12" t="s">
        <v>218</v>
      </c>
      <c r="B138">
        <v>10.19</v>
      </c>
    </row>
    <row r="139" spans="1:7" x14ac:dyDescent="0.3">
      <c r="A139" s="12" t="s">
        <v>145</v>
      </c>
      <c r="B139" s="8">
        <v>0.86</v>
      </c>
      <c r="E139" t="s">
        <v>137</v>
      </c>
      <c r="F139">
        <v>441</v>
      </c>
      <c r="G139" t="s">
        <v>134</v>
      </c>
    </row>
    <row r="140" spans="1:7" x14ac:dyDescent="0.3">
      <c r="A140" s="16" t="s">
        <v>146</v>
      </c>
      <c r="B140" s="5">
        <f>B137*B139</f>
        <v>967.5</v>
      </c>
      <c r="F140">
        <f>F139*F136</f>
        <v>374.84999999999997</v>
      </c>
      <c r="G140" t="s">
        <v>139</v>
      </c>
    </row>
    <row r="141" spans="1:7" x14ac:dyDescent="0.3">
      <c r="A141" s="12" t="s">
        <v>128</v>
      </c>
      <c r="B141">
        <v>0.21</v>
      </c>
      <c r="F141">
        <f>F140*F137/1000</f>
        <v>3.1412429999999998</v>
      </c>
      <c r="G141" t="s">
        <v>140</v>
      </c>
    </row>
    <row r="142" spans="1:7" x14ac:dyDescent="0.3">
      <c r="A142" s="12" t="s">
        <v>130</v>
      </c>
      <c r="B142" s="2">
        <f>B139*B137*B141</f>
        <v>203.17499999999998</v>
      </c>
      <c r="F142">
        <f>(F141*1000+880+79)/1000</f>
        <v>4.1002430000000007</v>
      </c>
      <c r="G142" t="s">
        <v>141</v>
      </c>
    </row>
    <row r="143" spans="1:7" x14ac:dyDescent="0.3">
      <c r="A143" s="12" t="s">
        <v>131</v>
      </c>
      <c r="B143">
        <f>B142*B136/1000</f>
        <v>980.11619999999994</v>
      </c>
      <c r="F143">
        <f>F142/F136*1000</f>
        <v>4823.8152941176486</v>
      </c>
      <c r="G143" t="s">
        <v>142</v>
      </c>
    </row>
    <row r="144" spans="1:7" x14ac:dyDescent="0.3">
      <c r="A144" s="12" t="s">
        <v>132</v>
      </c>
      <c r="B144" s="2">
        <f>B85</f>
        <v>354.63</v>
      </c>
    </row>
    <row r="145" spans="1:13" x14ac:dyDescent="0.3">
      <c r="A145" s="13" t="s">
        <v>143</v>
      </c>
      <c r="B145">
        <f>B144*B142/1000</f>
        <v>72.05195024999999</v>
      </c>
    </row>
    <row r="146" spans="1:13" x14ac:dyDescent="0.3">
      <c r="A146" s="13" t="s">
        <v>144</v>
      </c>
      <c r="B146">
        <f>B145*B136</f>
        <v>347578.60800599994</v>
      </c>
    </row>
    <row r="148" spans="1:13" ht="15" thickBot="1" x14ac:dyDescent="0.35"/>
    <row r="149" spans="1:13" ht="18.600000000000001" thickBot="1" x14ac:dyDescent="0.4">
      <c r="A149" s="17" t="s">
        <v>157</v>
      </c>
    </row>
    <row r="151" spans="1:13" x14ac:dyDescent="0.3">
      <c r="A151" s="12" t="s">
        <v>153</v>
      </c>
      <c r="B151" s="2">
        <f>B116</f>
        <v>57.126629999999999</v>
      </c>
    </row>
    <row r="152" spans="1:13" x14ac:dyDescent="0.3">
      <c r="A152" s="12" t="s">
        <v>156</v>
      </c>
      <c r="B152" s="2">
        <f>SUM(B48:AN48)</f>
        <v>5987</v>
      </c>
    </row>
    <row r="153" spans="1:13" x14ac:dyDescent="0.3">
      <c r="A153" s="13" t="s">
        <v>154</v>
      </c>
      <c r="B153" s="2">
        <f>B152/B151</f>
        <v>104.80226122213055</v>
      </c>
    </row>
    <row r="155" spans="1:13" ht="15" thickBot="1" x14ac:dyDescent="0.35"/>
    <row r="156" spans="1:13" ht="18.600000000000001" thickBot="1" x14ac:dyDescent="0.4">
      <c r="A156" s="17" t="s">
        <v>193</v>
      </c>
    </row>
    <row r="158" spans="1:13" x14ac:dyDescent="0.3">
      <c r="A158" s="20" t="s">
        <v>158</v>
      </c>
      <c r="B158" s="21">
        <v>41976</v>
      </c>
      <c r="C158" s="24">
        <v>41981</v>
      </c>
      <c r="D158" s="24">
        <v>41983</v>
      </c>
      <c r="E158" s="21">
        <v>42001</v>
      </c>
      <c r="F158" s="24">
        <v>42008</v>
      </c>
      <c r="G158" s="23">
        <v>42013</v>
      </c>
      <c r="H158" s="23">
        <v>42016</v>
      </c>
      <c r="I158" s="21">
        <v>42016</v>
      </c>
      <c r="J158" s="21">
        <v>42038</v>
      </c>
      <c r="K158" s="24">
        <v>42046</v>
      </c>
      <c r="L158" s="24">
        <v>42054</v>
      </c>
      <c r="M158" s="24">
        <v>42057</v>
      </c>
    </row>
    <row r="159" spans="1:13" x14ac:dyDescent="0.3">
      <c r="A159" s="20" t="s">
        <v>159</v>
      </c>
      <c r="B159" s="20" t="s">
        <v>178</v>
      </c>
      <c r="C159" t="s">
        <v>179</v>
      </c>
      <c r="D159" t="s">
        <v>173</v>
      </c>
      <c r="E159" s="20" t="s">
        <v>161</v>
      </c>
      <c r="F159" s="20" t="s">
        <v>174</v>
      </c>
      <c r="G159" s="20" t="s">
        <v>171</v>
      </c>
      <c r="H159" s="20" t="s">
        <v>172</v>
      </c>
      <c r="I159" s="20" t="s">
        <v>195</v>
      </c>
      <c r="J159" s="22" t="s">
        <v>160</v>
      </c>
      <c r="K159" s="20" t="s">
        <v>180</v>
      </c>
      <c r="L159" s="20" t="s">
        <v>181</v>
      </c>
      <c r="M159" s="20" t="s">
        <v>182</v>
      </c>
    </row>
    <row r="160" spans="1:13" x14ac:dyDescent="0.3">
      <c r="A160" s="20" t="s">
        <v>162</v>
      </c>
      <c r="B160" s="20">
        <v>100</v>
      </c>
      <c r="C160">
        <v>125</v>
      </c>
      <c r="D160">
        <v>145</v>
      </c>
      <c r="E160" s="20">
        <v>90</v>
      </c>
      <c r="F160" s="20">
        <v>135</v>
      </c>
      <c r="G160" s="20">
        <v>120</v>
      </c>
      <c r="H160" s="20">
        <v>70</v>
      </c>
      <c r="I160" s="20">
        <v>170</v>
      </c>
      <c r="J160" s="22">
        <v>150</v>
      </c>
      <c r="K160" s="20">
        <v>180</v>
      </c>
      <c r="L160" s="20">
        <v>130</v>
      </c>
      <c r="M160" s="20">
        <v>102</v>
      </c>
    </row>
    <row r="161" spans="1:13" x14ac:dyDescent="0.3">
      <c r="A161" s="20" t="s">
        <v>163</v>
      </c>
      <c r="B161" s="20">
        <v>41</v>
      </c>
      <c r="C161">
        <v>55</v>
      </c>
      <c r="D161">
        <v>75</v>
      </c>
      <c r="E161" s="20">
        <v>36</v>
      </c>
      <c r="F161" s="20">
        <v>82</v>
      </c>
      <c r="G161" s="20">
        <v>46</v>
      </c>
      <c r="H161" s="20">
        <v>38</v>
      </c>
      <c r="I161" s="20">
        <v>66</v>
      </c>
      <c r="J161" s="20">
        <v>81</v>
      </c>
      <c r="K161" s="20">
        <v>89</v>
      </c>
      <c r="L161" s="20">
        <v>61</v>
      </c>
      <c r="M161" s="20">
        <v>78</v>
      </c>
    </row>
    <row r="162" spans="1:13" x14ac:dyDescent="0.3">
      <c r="A162" s="20" t="s">
        <v>177</v>
      </c>
      <c r="B162" s="20">
        <v>19266.2</v>
      </c>
      <c r="C162" s="20">
        <v>26208</v>
      </c>
      <c r="D162" s="20">
        <v>32912.5</v>
      </c>
      <c r="E162" s="20">
        <v>17186.400000000001</v>
      </c>
      <c r="F162" s="20">
        <v>37021.9</v>
      </c>
      <c r="G162" s="20">
        <v>23662.400000000001</v>
      </c>
      <c r="H162" s="20">
        <v>18493.2</v>
      </c>
      <c r="I162" s="20">
        <v>33405.599999999999</v>
      </c>
      <c r="J162" s="20">
        <v>33784.9</v>
      </c>
      <c r="K162" s="20">
        <v>37801</v>
      </c>
      <c r="L162" s="20">
        <v>29358.7</v>
      </c>
      <c r="M162" s="20">
        <v>33787.9</v>
      </c>
    </row>
    <row r="163" spans="1:13" x14ac:dyDescent="0.3">
      <c r="A163" s="25" t="s">
        <v>164</v>
      </c>
      <c r="B163" s="25">
        <f t="shared" ref="B163:M163" si="30">B162/B161</f>
        <v>469.90731707317076</v>
      </c>
      <c r="C163" s="25">
        <f t="shared" si="30"/>
        <v>476.5090909090909</v>
      </c>
      <c r="D163" s="25">
        <f t="shared" si="30"/>
        <v>438.83333333333331</v>
      </c>
      <c r="E163" s="25">
        <f t="shared" si="30"/>
        <v>477.40000000000003</v>
      </c>
      <c r="F163" s="25">
        <f t="shared" si="30"/>
        <v>451.48658536585367</v>
      </c>
      <c r="G163" s="25">
        <f t="shared" si="30"/>
        <v>514.4</v>
      </c>
      <c r="H163" s="25">
        <f t="shared" si="30"/>
        <v>486.66315789473686</v>
      </c>
      <c r="I163" s="25">
        <f t="shared" si="30"/>
        <v>506.14545454545453</v>
      </c>
      <c r="J163" s="25">
        <f t="shared" si="30"/>
        <v>417.09753086419755</v>
      </c>
      <c r="K163" s="25">
        <f t="shared" si="30"/>
        <v>424.7303370786517</v>
      </c>
      <c r="L163" s="25">
        <f t="shared" si="30"/>
        <v>481.29016393442623</v>
      </c>
      <c r="M163" s="25">
        <f t="shared" si="30"/>
        <v>433.17820512820515</v>
      </c>
    </row>
    <row r="164" spans="1:13" x14ac:dyDescent="0.3">
      <c r="A164" s="20" t="s">
        <v>165</v>
      </c>
      <c r="B164" s="25">
        <f t="shared" ref="B164:M164" si="31">B160/B161</f>
        <v>2.4390243902439024</v>
      </c>
      <c r="C164" s="25">
        <f t="shared" si="31"/>
        <v>2.2727272727272729</v>
      </c>
      <c r="D164" s="25">
        <f t="shared" si="31"/>
        <v>1.9333333333333333</v>
      </c>
      <c r="E164" s="25">
        <f t="shared" si="31"/>
        <v>2.5</v>
      </c>
      <c r="F164" s="25">
        <f t="shared" si="31"/>
        <v>1.6463414634146341</v>
      </c>
      <c r="G164" s="25">
        <f t="shared" si="31"/>
        <v>2.6086956521739131</v>
      </c>
      <c r="H164" s="25">
        <f t="shared" si="31"/>
        <v>1.8421052631578947</v>
      </c>
      <c r="I164" s="25">
        <f t="shared" si="31"/>
        <v>2.5757575757575757</v>
      </c>
      <c r="J164" s="25">
        <f t="shared" si="31"/>
        <v>1.8518518518518519</v>
      </c>
      <c r="K164" s="25">
        <f t="shared" si="31"/>
        <v>2.0224719101123596</v>
      </c>
      <c r="L164" s="25">
        <f t="shared" si="31"/>
        <v>2.1311475409836067</v>
      </c>
      <c r="M164" s="25">
        <f t="shared" si="31"/>
        <v>1.3076923076923077</v>
      </c>
    </row>
    <row r="165" spans="1:13" x14ac:dyDescent="0.3">
      <c r="A165" s="25" t="s">
        <v>166</v>
      </c>
      <c r="B165" s="25" t="s">
        <v>183</v>
      </c>
      <c r="C165" s="25" t="s">
        <v>184</v>
      </c>
      <c r="D165" s="25" t="s">
        <v>176</v>
      </c>
      <c r="E165" s="25" t="s">
        <v>169</v>
      </c>
      <c r="F165" s="25" t="s">
        <v>194</v>
      </c>
      <c r="G165" s="25" t="s">
        <v>170</v>
      </c>
      <c r="H165" s="25" t="s">
        <v>167</v>
      </c>
      <c r="I165" s="25" t="s">
        <v>168</v>
      </c>
      <c r="J165" s="25" t="s">
        <v>167</v>
      </c>
      <c r="K165" s="25" t="s">
        <v>185</v>
      </c>
      <c r="L165" s="25" t="s">
        <v>186</v>
      </c>
      <c r="M165" s="25" t="s">
        <v>197</v>
      </c>
    </row>
    <row r="166" spans="1:13" x14ac:dyDescent="0.3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x14ac:dyDescent="0.3">
      <c r="A167" s="4" t="s">
        <v>187</v>
      </c>
      <c r="B167" s="26">
        <f>MIN(B163:M163)</f>
        <v>417.09753086419755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3">
      <c r="A168" s="13" t="s">
        <v>188</v>
      </c>
      <c r="B168" s="11">
        <f>MIN(164:164)</f>
        <v>1.3076923076923077</v>
      </c>
      <c r="C168" s="27" t="s">
        <v>197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3">
      <c r="A169" s="13" t="s">
        <v>189</v>
      </c>
      <c r="B169" s="2">
        <f>MAXA(B163:M163)</f>
        <v>514.4</v>
      </c>
    </row>
    <row r="170" spans="1:13" x14ac:dyDescent="0.3">
      <c r="A170" s="13" t="s">
        <v>190</v>
      </c>
      <c r="B170">
        <f>MAXA(B164:M164)</f>
        <v>2.6086956521739131</v>
      </c>
      <c r="C170" s="28" t="s">
        <v>170</v>
      </c>
    </row>
    <row r="171" spans="1:13" x14ac:dyDescent="0.3">
      <c r="A171" s="13" t="s">
        <v>191</v>
      </c>
      <c r="B171" s="2">
        <f>SUM(B162:M162)/SUM(B161:M161)</f>
        <v>458.4073529411765</v>
      </c>
    </row>
    <row r="172" spans="1:13" x14ac:dyDescent="0.3">
      <c r="A172" s="13" t="s">
        <v>192</v>
      </c>
      <c r="B172">
        <f>SUM(B160:M160)/SUM(B161:M161)</f>
        <v>2.0280748663101602</v>
      </c>
      <c r="C172" s="28" t="s">
        <v>196</v>
      </c>
    </row>
    <row r="174" spans="1:13" ht="15" thickBot="1" x14ac:dyDescent="0.35"/>
    <row r="175" spans="1:13" ht="18.600000000000001" thickBot="1" x14ac:dyDescent="0.4">
      <c r="A175" s="17" t="s">
        <v>198</v>
      </c>
    </row>
    <row r="177" spans="1:13" x14ac:dyDescent="0.3">
      <c r="A177" s="20" t="s">
        <v>158</v>
      </c>
      <c r="B177" s="21">
        <v>41988</v>
      </c>
      <c r="C177" s="24">
        <v>42011</v>
      </c>
      <c r="D177" s="24">
        <v>42029</v>
      </c>
      <c r="E177" s="21">
        <v>42036</v>
      </c>
      <c r="F177" s="24">
        <v>42041</v>
      </c>
      <c r="G177" s="23">
        <v>42054</v>
      </c>
      <c r="H177" s="23">
        <v>42055</v>
      </c>
      <c r="I177" s="21">
        <v>42063</v>
      </c>
      <c r="J177" s="21"/>
      <c r="K177" s="24"/>
      <c r="L177" s="24"/>
      <c r="M177" s="24"/>
    </row>
    <row r="178" spans="1:13" x14ac:dyDescent="0.3">
      <c r="A178" s="20" t="s">
        <v>159</v>
      </c>
      <c r="B178" s="20" t="s">
        <v>205</v>
      </c>
      <c r="C178" t="s">
        <v>207</v>
      </c>
      <c r="D178" t="s">
        <v>210</v>
      </c>
      <c r="E178" s="20" t="s">
        <v>178</v>
      </c>
      <c r="F178" s="20" t="s">
        <v>206</v>
      </c>
      <c r="G178" s="20" t="s">
        <v>208</v>
      </c>
      <c r="H178" s="20" t="s">
        <v>178</v>
      </c>
      <c r="I178" s="20" t="s">
        <v>209</v>
      </c>
      <c r="J178" s="22"/>
      <c r="K178" s="20"/>
      <c r="L178" s="20"/>
      <c r="M178" s="20"/>
    </row>
    <row r="179" spans="1:13" x14ac:dyDescent="0.3">
      <c r="A179" s="20" t="s">
        <v>162</v>
      </c>
      <c r="B179" s="20">
        <v>115</v>
      </c>
      <c r="C179">
        <v>105</v>
      </c>
      <c r="D179">
        <v>155</v>
      </c>
      <c r="E179" s="20">
        <v>100</v>
      </c>
      <c r="F179" s="20">
        <v>120</v>
      </c>
      <c r="G179" s="20">
        <v>75</v>
      </c>
      <c r="H179" s="20">
        <v>100</v>
      </c>
      <c r="I179" s="20">
        <v>200</v>
      </c>
      <c r="J179" s="22"/>
      <c r="K179" s="20"/>
      <c r="L179" s="20"/>
      <c r="M179" s="20"/>
    </row>
    <row r="180" spans="1:13" x14ac:dyDescent="0.3">
      <c r="A180" s="20" t="s">
        <v>163</v>
      </c>
      <c r="B180" s="20">
        <v>31</v>
      </c>
      <c r="C180">
        <v>34</v>
      </c>
      <c r="D180">
        <v>41</v>
      </c>
      <c r="E180" s="20">
        <v>20</v>
      </c>
      <c r="F180" s="20">
        <v>46</v>
      </c>
      <c r="G180" s="20">
        <v>23</v>
      </c>
      <c r="H180" s="20">
        <v>19</v>
      </c>
      <c r="I180" s="20">
        <v>38</v>
      </c>
      <c r="J180" s="20"/>
      <c r="K180" s="20"/>
      <c r="L180" s="20"/>
      <c r="M180" s="20"/>
    </row>
    <row r="181" spans="1:13" x14ac:dyDescent="0.3">
      <c r="A181" s="20" t="s">
        <v>177</v>
      </c>
      <c r="B181" s="20">
        <v>19266.2</v>
      </c>
      <c r="C181" s="20">
        <v>17953.3</v>
      </c>
      <c r="D181" s="20">
        <v>22187.4</v>
      </c>
      <c r="E181" s="20">
        <v>13266.9</v>
      </c>
      <c r="F181" s="20">
        <v>17912.8</v>
      </c>
      <c r="G181" s="20">
        <v>10958.8</v>
      </c>
      <c r="H181" s="20">
        <v>11618</v>
      </c>
      <c r="I181" s="20">
        <v>20387.5</v>
      </c>
      <c r="J181" s="20"/>
      <c r="K181" s="20"/>
      <c r="L181" s="20"/>
      <c r="M181" s="20"/>
    </row>
    <row r="182" spans="1:13" x14ac:dyDescent="0.3">
      <c r="A182" s="25" t="s">
        <v>164</v>
      </c>
      <c r="B182" s="25">
        <f t="shared" ref="B182:I182" si="32">B181/B180</f>
        <v>621.49032258064517</v>
      </c>
      <c r="C182" s="25">
        <f t="shared" si="32"/>
        <v>528.03823529411761</v>
      </c>
      <c r="D182" s="25">
        <f t="shared" si="32"/>
        <v>541.1560975609757</v>
      </c>
      <c r="E182" s="25">
        <f t="shared" si="32"/>
        <v>663.34500000000003</v>
      </c>
      <c r="F182" s="25">
        <f t="shared" si="32"/>
        <v>389.40869565217389</v>
      </c>
      <c r="G182" s="25">
        <f t="shared" si="32"/>
        <v>476.46956521739128</v>
      </c>
      <c r="H182" s="25">
        <f t="shared" si="32"/>
        <v>611.47368421052636</v>
      </c>
      <c r="I182" s="25">
        <f t="shared" si="32"/>
        <v>536.51315789473688</v>
      </c>
      <c r="J182" s="25"/>
      <c r="K182" s="25"/>
      <c r="L182" s="25"/>
      <c r="M182" s="25"/>
    </row>
    <row r="183" spans="1:13" x14ac:dyDescent="0.3">
      <c r="A183" s="20" t="s">
        <v>165</v>
      </c>
      <c r="B183" s="25">
        <f t="shared" ref="B183:I183" si="33">B179/B180</f>
        <v>3.7096774193548385</v>
      </c>
      <c r="C183" s="25">
        <f t="shared" si="33"/>
        <v>3.0882352941176472</v>
      </c>
      <c r="D183" s="25">
        <f t="shared" si="33"/>
        <v>3.7804878048780486</v>
      </c>
      <c r="E183" s="25">
        <f t="shared" si="33"/>
        <v>5</v>
      </c>
      <c r="F183" s="25">
        <f t="shared" si="33"/>
        <v>2.6086956521739131</v>
      </c>
      <c r="G183" s="25">
        <f t="shared" si="33"/>
        <v>3.2608695652173911</v>
      </c>
      <c r="H183" s="25">
        <f t="shared" si="33"/>
        <v>5.2631578947368425</v>
      </c>
      <c r="I183" s="25">
        <f t="shared" si="33"/>
        <v>5.2631578947368425</v>
      </c>
      <c r="J183" s="25"/>
      <c r="K183" s="25"/>
      <c r="L183" s="25"/>
      <c r="M183" s="25"/>
    </row>
    <row r="184" spans="1:13" x14ac:dyDescent="0.3">
      <c r="A184" s="25" t="s">
        <v>166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x14ac:dyDescent="0.3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x14ac:dyDescent="0.3">
      <c r="A186" s="4" t="s">
        <v>199</v>
      </c>
      <c r="B186" s="26">
        <f>MIN(B182:I182)</f>
        <v>389.40869565217389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3">
      <c r="A187" s="13" t="s">
        <v>200</v>
      </c>
      <c r="B187" s="11">
        <f>MIN($B183:$I183)</f>
        <v>2.6086956521739131</v>
      </c>
      <c r="C187" s="27" t="s">
        <v>212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3">
      <c r="A188" s="13" t="s">
        <v>201</v>
      </c>
      <c r="B188" s="2">
        <f>MAXA(B182:I182)</f>
        <v>663.34500000000003</v>
      </c>
    </row>
    <row r="189" spans="1:13" x14ac:dyDescent="0.3">
      <c r="A189" s="13" t="s">
        <v>202</v>
      </c>
      <c r="B189">
        <f>MAXA(B183:I183)</f>
        <v>5.2631578947368425</v>
      </c>
      <c r="C189" s="28" t="s">
        <v>211</v>
      </c>
    </row>
    <row r="190" spans="1:13" x14ac:dyDescent="0.3">
      <c r="A190" s="13" t="s">
        <v>203</v>
      </c>
      <c r="B190" s="2">
        <f>SUM(B181:I181)/SUM(B180:I180)</f>
        <v>529.96388888888896</v>
      </c>
      <c r="E190" s="2"/>
    </row>
    <row r="191" spans="1:13" x14ac:dyDescent="0.3">
      <c r="A191" s="13" t="s">
        <v>204</v>
      </c>
      <c r="B191">
        <f>SUM(B179:I179)/SUM(B180:I180)</f>
        <v>3.8492063492063493</v>
      </c>
      <c r="C191" s="28" t="s">
        <v>175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V147"/>
  <sheetViews>
    <sheetView zoomScaleNormal="100" workbookViewId="0"/>
  </sheetViews>
  <sheetFormatPr baseColWidth="10" defaultRowHeight="14.4" x14ac:dyDescent="0.3"/>
  <cols>
    <col min="1" max="1" width="30.109375" style="13" bestFit="1" customWidth="1"/>
    <col min="2" max="2" width="14.44140625" bestFit="1" customWidth="1"/>
  </cols>
  <sheetData>
    <row r="1" spans="1:48" x14ac:dyDescent="0.3">
      <c r="B1" s="1" t="s">
        <v>92</v>
      </c>
    </row>
    <row r="2" spans="1:48" ht="15" thickBot="1" x14ac:dyDescent="0.35">
      <c r="B2" s="19" t="s">
        <v>95</v>
      </c>
      <c r="Y2" s="19" t="s">
        <v>96</v>
      </c>
    </row>
    <row r="3" spans="1:48" ht="18.600000000000001" thickBot="1" x14ac:dyDescent="0.4">
      <c r="A3" s="17" t="s">
        <v>32</v>
      </c>
    </row>
    <row r="5" spans="1:48" x14ac:dyDescent="0.3">
      <c r="A5" s="12" t="s">
        <v>25</v>
      </c>
      <c r="B5" t="s">
        <v>7</v>
      </c>
      <c r="C5" t="s">
        <v>7</v>
      </c>
      <c r="D5" t="s">
        <v>10</v>
      </c>
      <c r="E5" t="s">
        <v>10</v>
      </c>
      <c r="F5" t="s">
        <v>5</v>
      </c>
      <c r="G5" t="s">
        <v>5</v>
      </c>
      <c r="H5" t="s">
        <v>31</v>
      </c>
      <c r="I5" t="s">
        <v>31</v>
      </c>
      <c r="J5" t="s">
        <v>12</v>
      </c>
      <c r="K5" t="s">
        <v>12</v>
      </c>
      <c r="L5" t="s">
        <v>0</v>
      </c>
      <c r="M5" t="s">
        <v>0</v>
      </c>
      <c r="N5" t="s">
        <v>1</v>
      </c>
      <c r="O5" t="s">
        <v>1</v>
      </c>
      <c r="P5" t="s">
        <v>13</v>
      </c>
      <c r="Q5" t="s">
        <v>13</v>
      </c>
      <c r="R5" t="s">
        <v>14</v>
      </c>
      <c r="S5" t="s">
        <v>14</v>
      </c>
      <c r="T5" t="s">
        <v>17</v>
      </c>
      <c r="U5" t="s">
        <v>17</v>
      </c>
      <c r="V5" t="s">
        <v>15</v>
      </c>
      <c r="W5" t="s">
        <v>15</v>
      </c>
      <c r="X5" t="s">
        <v>31</v>
      </c>
      <c r="Y5" t="s">
        <v>31</v>
      </c>
      <c r="Z5" t="s">
        <v>16</v>
      </c>
      <c r="AA5" t="s">
        <v>16</v>
      </c>
      <c r="AB5" t="s">
        <v>5</v>
      </c>
      <c r="AC5" t="s">
        <v>5</v>
      </c>
      <c r="AD5" t="s">
        <v>7</v>
      </c>
      <c r="AE5" t="s">
        <v>7</v>
      </c>
      <c r="AF5" t="s">
        <v>4</v>
      </c>
      <c r="AG5" t="s">
        <v>4</v>
      </c>
      <c r="AH5" t="s">
        <v>31</v>
      </c>
      <c r="AI5" t="s">
        <v>31</v>
      </c>
      <c r="AJ5" t="s">
        <v>0</v>
      </c>
      <c r="AK5" t="s">
        <v>0</v>
      </c>
      <c r="AL5" t="s">
        <v>18</v>
      </c>
      <c r="AM5" t="s">
        <v>18</v>
      </c>
      <c r="AN5" t="s">
        <v>1</v>
      </c>
      <c r="AO5" t="s">
        <v>1</v>
      </c>
      <c r="AP5" t="s">
        <v>31</v>
      </c>
      <c r="AQ5" t="s">
        <v>31</v>
      </c>
      <c r="AR5" t="s">
        <v>5</v>
      </c>
      <c r="AS5" t="s">
        <v>5</v>
      </c>
      <c r="AT5" t="s">
        <v>31</v>
      </c>
      <c r="AU5" t="s">
        <v>31</v>
      </c>
      <c r="AV5" t="s">
        <v>24</v>
      </c>
    </row>
    <row r="6" spans="1:48" x14ac:dyDescent="0.3">
      <c r="A6" s="13" t="s">
        <v>26</v>
      </c>
      <c r="B6" s="2">
        <v>0</v>
      </c>
      <c r="C6" s="2">
        <v>11.58</v>
      </c>
      <c r="D6" s="2">
        <f>C6+0.75</f>
        <v>12.33</v>
      </c>
      <c r="E6" s="2">
        <f>D6+4.25</f>
        <v>16.579999999999998</v>
      </c>
      <c r="F6" s="2">
        <f>E6+19.25</f>
        <v>35.83</v>
      </c>
      <c r="G6" s="2">
        <f>F6+2.83</f>
        <v>38.659999999999997</v>
      </c>
      <c r="H6" s="2">
        <f>G6+10.833</f>
        <v>49.492999999999995</v>
      </c>
      <c r="I6" s="2">
        <f>H6+42</f>
        <v>91.492999999999995</v>
      </c>
      <c r="J6" s="2">
        <f>I6+1.33</f>
        <v>92.822999999999993</v>
      </c>
      <c r="K6" s="2">
        <f>J6+2.83</f>
        <v>95.652999999999992</v>
      </c>
      <c r="L6" s="2">
        <f>K6+10.67</f>
        <v>106.32299999999999</v>
      </c>
      <c r="M6" s="2">
        <f>L6+8.33</f>
        <v>114.65299999999999</v>
      </c>
      <c r="N6" s="2">
        <f>M6+3.17</f>
        <v>117.82299999999999</v>
      </c>
      <c r="O6" s="2">
        <f>N6+8.33</f>
        <v>126.15299999999999</v>
      </c>
      <c r="P6" s="2">
        <f>O6+31.833</f>
        <v>157.98599999999999</v>
      </c>
      <c r="Q6" s="2">
        <f>P6+9.5</f>
        <v>167.48599999999999</v>
      </c>
      <c r="R6" s="2">
        <f>Q6+21.25</f>
        <v>188.73599999999999</v>
      </c>
      <c r="S6" s="2">
        <f>R6+2.58</f>
        <v>191.316</v>
      </c>
      <c r="T6" s="2">
        <f>S6+28.1667</f>
        <v>219.48269999999999</v>
      </c>
      <c r="U6" s="2">
        <f>T6+16</f>
        <v>235.48269999999999</v>
      </c>
      <c r="V6" s="2">
        <f>U6+13.75</f>
        <v>249.23269999999999</v>
      </c>
      <c r="W6" s="2">
        <f>V6+9.83</f>
        <v>259.06270000000001</v>
      </c>
      <c r="X6" s="2">
        <f>W6+58.42</f>
        <v>317.48270000000002</v>
      </c>
      <c r="Y6" s="2">
        <f>X6+8.92</f>
        <v>326.40270000000004</v>
      </c>
      <c r="Z6" s="2">
        <f>Y6+4.07</f>
        <v>330.47270000000003</v>
      </c>
      <c r="AA6" s="2">
        <f>Z6+4.27</f>
        <v>334.74270000000001</v>
      </c>
      <c r="AB6" s="2">
        <f>AA6+7.58</f>
        <v>342.3227</v>
      </c>
      <c r="AC6" s="2">
        <f>AB6+8.33</f>
        <v>350.65269999999998</v>
      </c>
      <c r="AD6" s="2">
        <f>AC6+15.5</f>
        <v>366.15269999999998</v>
      </c>
      <c r="AE6" s="2">
        <f>AD6+12.17</f>
        <v>378.3227</v>
      </c>
      <c r="AF6" s="2">
        <f>AE6+19.33</f>
        <v>397.65269999999998</v>
      </c>
      <c r="AG6" s="2">
        <f>AF6+1.92</f>
        <v>399.5727</v>
      </c>
      <c r="AH6" s="2">
        <f>AG6+3.92</f>
        <v>403.49270000000001</v>
      </c>
      <c r="AI6" s="2">
        <f>AH6+4.58</f>
        <v>408.0727</v>
      </c>
      <c r="AJ6" s="2">
        <f>AI6+14.58</f>
        <v>422.65269999999998</v>
      </c>
      <c r="AK6" s="2">
        <f>AJ6+3.67</f>
        <v>426.3227</v>
      </c>
      <c r="AL6" s="2">
        <f>AK6+22.1667</f>
        <v>448.48939999999999</v>
      </c>
      <c r="AM6" s="2">
        <f>AL6+8.25</f>
        <v>456.73939999999999</v>
      </c>
      <c r="AN6" s="2">
        <f>AM6+30.83</f>
        <v>487.56939999999997</v>
      </c>
      <c r="AO6" s="2">
        <f>AN6+2.17</f>
        <v>489.73939999999999</v>
      </c>
      <c r="AP6" s="2">
        <f>AO6+16.5</f>
        <v>506.23939999999999</v>
      </c>
      <c r="AQ6" s="2">
        <f>AP6+5</f>
        <v>511.23939999999999</v>
      </c>
      <c r="AR6" s="2">
        <f>AQ6+8.5</f>
        <v>519.73939999999993</v>
      </c>
      <c r="AS6" s="2">
        <f>AR6+25.67</f>
        <v>545.40939999999989</v>
      </c>
      <c r="AT6" s="2">
        <f>AS6+9.58</f>
        <v>554.98939999999993</v>
      </c>
      <c r="AU6" s="2">
        <f>AT6+104.8333</f>
        <v>659.82269999999994</v>
      </c>
      <c r="AV6" s="2"/>
    </row>
    <row r="7" spans="1:48" x14ac:dyDescent="0.3">
      <c r="A7" s="13" t="s">
        <v>27</v>
      </c>
      <c r="B7">
        <f t="shared" ref="B7:AU7" si="0">VLOOKUP(B5,$B$13:$C$26,2,FALSE)</f>
        <v>63.110329999999998</v>
      </c>
      <c r="C7">
        <f t="shared" si="0"/>
        <v>63.110329999999998</v>
      </c>
      <c r="D7">
        <f t="shared" si="0"/>
        <v>63.088909999999998</v>
      </c>
      <c r="E7">
        <f t="shared" si="0"/>
        <v>63.088909999999998</v>
      </c>
      <c r="F7">
        <f t="shared" si="0"/>
        <v>61.602170000000001</v>
      </c>
      <c r="G7">
        <f t="shared" si="0"/>
        <v>61.602170000000001</v>
      </c>
      <c r="H7">
        <f t="shared" si="0"/>
        <v>60.403860000000002</v>
      </c>
      <c r="I7">
        <f t="shared" si="0"/>
        <v>60.403860000000002</v>
      </c>
      <c r="J7">
        <f t="shared" si="0"/>
        <v>60.391669999999998</v>
      </c>
      <c r="K7">
        <f t="shared" si="0"/>
        <v>60.391669999999998</v>
      </c>
      <c r="L7">
        <f t="shared" si="0"/>
        <v>58.995069999999998</v>
      </c>
      <c r="M7">
        <f t="shared" si="0"/>
        <v>58.995069999999998</v>
      </c>
      <c r="N7">
        <f t="shared" si="0"/>
        <v>58.921900000000001</v>
      </c>
      <c r="O7">
        <f t="shared" si="0"/>
        <v>58.921900000000001</v>
      </c>
      <c r="P7">
        <f t="shared" si="0"/>
        <v>55.476460000000003</v>
      </c>
      <c r="Q7">
        <f t="shared" si="0"/>
        <v>55.476460000000003</v>
      </c>
      <c r="R7">
        <f t="shared" si="0"/>
        <v>53.359400000000001</v>
      </c>
      <c r="S7">
        <f t="shared" si="0"/>
        <v>53.359400000000001</v>
      </c>
      <c r="T7">
        <f t="shared" si="0"/>
        <v>51.219439999999999</v>
      </c>
      <c r="U7">
        <f t="shared" si="0"/>
        <v>51.219439999999999</v>
      </c>
      <c r="V7">
        <f t="shared" si="0"/>
        <v>51.934730000000002</v>
      </c>
      <c r="W7">
        <f t="shared" si="0"/>
        <v>51.934730000000002</v>
      </c>
      <c r="X7">
        <f t="shared" si="0"/>
        <v>60.403860000000002</v>
      </c>
      <c r="Y7">
        <f t="shared" si="0"/>
        <v>60.403860000000002</v>
      </c>
      <c r="Z7">
        <f t="shared" si="0"/>
        <v>60.997669999999999</v>
      </c>
      <c r="AA7">
        <f t="shared" si="0"/>
        <v>60.997669999999999</v>
      </c>
      <c r="AB7">
        <f t="shared" si="0"/>
        <v>61.602170000000001</v>
      </c>
      <c r="AC7">
        <f t="shared" si="0"/>
        <v>61.602170000000001</v>
      </c>
      <c r="AD7">
        <f t="shared" si="0"/>
        <v>63.110329999999998</v>
      </c>
      <c r="AE7">
        <f t="shared" si="0"/>
        <v>63.110329999999998</v>
      </c>
      <c r="AF7">
        <f t="shared" si="0"/>
        <v>60.811279999999996</v>
      </c>
      <c r="AG7">
        <f t="shared" si="0"/>
        <v>60.811279999999996</v>
      </c>
      <c r="AH7">
        <f t="shared" si="0"/>
        <v>60.403860000000002</v>
      </c>
      <c r="AI7">
        <f t="shared" si="0"/>
        <v>60.403860000000002</v>
      </c>
      <c r="AJ7">
        <f t="shared" si="0"/>
        <v>58.995069999999998</v>
      </c>
      <c r="AK7">
        <f t="shared" si="0"/>
        <v>58.995069999999998</v>
      </c>
      <c r="AL7">
        <f t="shared" si="0"/>
        <v>59.138550000000002</v>
      </c>
      <c r="AM7">
        <f t="shared" si="0"/>
        <v>59.138550000000002</v>
      </c>
      <c r="AN7">
        <f t="shared" si="0"/>
        <v>58.921900000000001</v>
      </c>
      <c r="AO7">
        <f t="shared" si="0"/>
        <v>58.921900000000001</v>
      </c>
      <c r="AP7">
        <f t="shared" si="0"/>
        <v>60.403860000000002</v>
      </c>
      <c r="AQ7">
        <f t="shared" si="0"/>
        <v>60.403860000000002</v>
      </c>
      <c r="AR7">
        <f t="shared" si="0"/>
        <v>61.602170000000001</v>
      </c>
      <c r="AS7">
        <f t="shared" si="0"/>
        <v>61.602170000000001</v>
      </c>
      <c r="AT7">
        <f t="shared" si="0"/>
        <v>60.403860000000002</v>
      </c>
      <c r="AU7">
        <f t="shared" si="0"/>
        <v>60.403860000000002</v>
      </c>
    </row>
    <row r="10" spans="1:48" x14ac:dyDescent="0.3">
      <c r="AL10" s="1"/>
      <c r="AM10" s="1"/>
      <c r="AN10" s="1"/>
      <c r="AO10" s="1"/>
    </row>
    <row r="12" spans="1:48" x14ac:dyDescent="0.3">
      <c r="B12" s="1" t="s">
        <v>25</v>
      </c>
      <c r="C12" s="1" t="s">
        <v>27</v>
      </c>
    </row>
    <row r="13" spans="1:48" x14ac:dyDescent="0.3">
      <c r="B13" t="s">
        <v>10</v>
      </c>
      <c r="C13" s="29">
        <v>63.088909999999998</v>
      </c>
    </row>
    <row r="14" spans="1:48" x14ac:dyDescent="0.3">
      <c r="B14" t="s">
        <v>7</v>
      </c>
      <c r="C14" s="29">
        <v>63.110329999999998</v>
      </c>
    </row>
    <row r="15" spans="1:48" x14ac:dyDescent="0.3">
      <c r="B15" t="s">
        <v>5</v>
      </c>
      <c r="C15" s="29">
        <v>61.602170000000001</v>
      </c>
    </row>
    <row r="16" spans="1:48" x14ac:dyDescent="0.3">
      <c r="B16" t="s">
        <v>4</v>
      </c>
      <c r="C16" s="29">
        <v>60.811279999999996</v>
      </c>
      <c r="D16" s="2"/>
      <c r="F16" s="2"/>
    </row>
    <row r="17" spans="1:41" x14ac:dyDescent="0.3">
      <c r="B17" t="s">
        <v>31</v>
      </c>
      <c r="C17" s="29">
        <v>60.403860000000002</v>
      </c>
    </row>
    <row r="18" spans="1:41" x14ac:dyDescent="0.3">
      <c r="B18" t="s">
        <v>1</v>
      </c>
      <c r="C18" s="29">
        <v>58.921900000000001</v>
      </c>
    </row>
    <row r="19" spans="1:41" x14ac:dyDescent="0.3">
      <c r="B19" t="s">
        <v>0</v>
      </c>
      <c r="C19" s="29">
        <v>58.995069999999998</v>
      </c>
      <c r="AL19" s="1"/>
      <c r="AM19" s="1"/>
      <c r="AN19" s="1"/>
      <c r="AO19" s="1"/>
    </row>
    <row r="20" spans="1:41" x14ac:dyDescent="0.3">
      <c r="B20" t="s">
        <v>12</v>
      </c>
      <c r="C20" s="29">
        <v>60.391669999999998</v>
      </c>
    </row>
    <row r="21" spans="1:41" x14ac:dyDescent="0.3">
      <c r="B21" t="s">
        <v>13</v>
      </c>
      <c r="C21" s="29">
        <v>55.476460000000003</v>
      </c>
    </row>
    <row r="22" spans="1:41" x14ac:dyDescent="0.3">
      <c r="B22" t="s">
        <v>14</v>
      </c>
      <c r="C22" s="29">
        <v>53.359400000000001</v>
      </c>
    </row>
    <row r="23" spans="1:41" x14ac:dyDescent="0.3">
      <c r="B23" t="s">
        <v>17</v>
      </c>
      <c r="C23" s="29">
        <v>51.219439999999999</v>
      </c>
      <c r="AL23" s="1"/>
      <c r="AM23" s="1"/>
      <c r="AN23" s="1"/>
      <c r="AO23" s="1"/>
    </row>
    <row r="24" spans="1:41" x14ac:dyDescent="0.3">
      <c r="B24" t="s">
        <v>15</v>
      </c>
      <c r="C24" s="29">
        <v>51.934730000000002</v>
      </c>
    </row>
    <row r="25" spans="1:41" x14ac:dyDescent="0.3">
      <c r="B25" t="s">
        <v>16</v>
      </c>
      <c r="C25" s="29">
        <v>60.997669999999999</v>
      </c>
    </row>
    <row r="26" spans="1:41" x14ac:dyDescent="0.3">
      <c r="B26" t="s">
        <v>18</v>
      </c>
      <c r="C26" s="29">
        <v>59.138550000000002</v>
      </c>
      <c r="AL26" s="1"/>
      <c r="AM26" s="1"/>
      <c r="AN26" s="1"/>
      <c r="AO26" s="1"/>
    </row>
    <row r="28" spans="1:41" ht="15" thickBot="1" x14ac:dyDescent="0.35">
      <c r="AL28" s="1"/>
      <c r="AM28" s="1"/>
      <c r="AN28" s="1"/>
      <c r="AO28" s="1"/>
    </row>
    <row r="29" spans="1:41" ht="18.600000000000001" thickBot="1" x14ac:dyDescent="0.4">
      <c r="A29" s="17" t="s">
        <v>35</v>
      </c>
    </row>
    <row r="31" spans="1:41" x14ac:dyDescent="0.3">
      <c r="A31" s="12" t="s">
        <v>36</v>
      </c>
      <c r="B31" t="s">
        <v>7</v>
      </c>
      <c r="C31" t="s">
        <v>10</v>
      </c>
      <c r="D31" t="s">
        <v>5</v>
      </c>
      <c r="E31" t="s">
        <v>31</v>
      </c>
      <c r="F31" t="s">
        <v>12</v>
      </c>
      <c r="G31" t="s">
        <v>0</v>
      </c>
      <c r="H31" t="s">
        <v>1</v>
      </c>
      <c r="I31" t="s">
        <v>13</v>
      </c>
      <c r="J31" t="s">
        <v>14</v>
      </c>
      <c r="K31" t="s">
        <v>24</v>
      </c>
      <c r="L31" t="s">
        <v>15</v>
      </c>
      <c r="M31" t="s">
        <v>31</v>
      </c>
      <c r="N31" t="s">
        <v>16</v>
      </c>
      <c r="O31" t="s">
        <v>5</v>
      </c>
      <c r="P31" t="s">
        <v>7</v>
      </c>
      <c r="Q31" t="s">
        <v>4</v>
      </c>
      <c r="R31" t="s">
        <v>31</v>
      </c>
      <c r="S31" t="s">
        <v>0</v>
      </c>
      <c r="T31" t="s">
        <v>18</v>
      </c>
      <c r="U31" t="s">
        <v>1</v>
      </c>
      <c r="V31" t="s">
        <v>31</v>
      </c>
      <c r="W31" t="s">
        <v>5</v>
      </c>
      <c r="X31" t="s">
        <v>31</v>
      </c>
      <c r="Y31" t="s">
        <v>17</v>
      </c>
    </row>
    <row r="32" spans="1:41" x14ac:dyDescent="0.3">
      <c r="A32" s="12" t="s">
        <v>213</v>
      </c>
      <c r="B32">
        <v>0</v>
      </c>
      <c r="C32">
        <v>5</v>
      </c>
      <c r="D32">
        <v>143</v>
      </c>
      <c r="E32">
        <v>89</v>
      </c>
      <c r="F32">
        <v>5</v>
      </c>
      <c r="G32">
        <v>110</v>
      </c>
      <c r="H32">
        <v>13</v>
      </c>
      <c r="I32">
        <v>274</v>
      </c>
      <c r="J32">
        <v>167</v>
      </c>
      <c r="K32">
        <v>294</v>
      </c>
      <c r="L32">
        <v>137</v>
      </c>
      <c r="M32">
        <v>539</v>
      </c>
      <c r="N32">
        <v>50</v>
      </c>
      <c r="O32">
        <v>89</v>
      </c>
      <c r="P32">
        <v>148</v>
      </c>
      <c r="Q32">
        <v>200</v>
      </c>
      <c r="R32">
        <v>38</v>
      </c>
      <c r="S32">
        <v>105</v>
      </c>
      <c r="T32">
        <v>230</v>
      </c>
      <c r="U32">
        <v>218</v>
      </c>
      <c r="V32">
        <v>108</v>
      </c>
      <c r="W32">
        <v>89</v>
      </c>
      <c r="X32">
        <v>89</v>
      </c>
      <c r="Y32">
        <v>634</v>
      </c>
    </row>
    <row r="33" spans="1:25" x14ac:dyDescent="0.3">
      <c r="A33" s="12" t="s">
        <v>214</v>
      </c>
      <c r="B33">
        <v>0</v>
      </c>
      <c r="C33">
        <f>B33+C32</f>
        <v>5</v>
      </c>
      <c r="D33">
        <f>C33+D32</f>
        <v>148</v>
      </c>
      <c r="E33">
        <f t="shared" ref="E33:M33" si="1">D33+E32</f>
        <v>237</v>
      </c>
      <c r="F33">
        <f t="shared" si="1"/>
        <v>242</v>
      </c>
      <c r="G33">
        <f t="shared" si="1"/>
        <v>352</v>
      </c>
      <c r="H33">
        <f t="shared" si="1"/>
        <v>365</v>
      </c>
      <c r="I33">
        <f t="shared" si="1"/>
        <v>639</v>
      </c>
      <c r="J33">
        <f t="shared" si="1"/>
        <v>806</v>
      </c>
      <c r="K33">
        <f t="shared" si="1"/>
        <v>1100</v>
      </c>
      <c r="L33">
        <f t="shared" si="1"/>
        <v>1237</v>
      </c>
      <c r="M33">
        <f t="shared" si="1"/>
        <v>1776</v>
      </c>
      <c r="N33">
        <f t="shared" ref="N33" si="2">M33+N32</f>
        <v>1826</v>
      </c>
      <c r="O33">
        <f t="shared" ref="O33" si="3">N33+O32</f>
        <v>1915</v>
      </c>
      <c r="P33">
        <f t="shared" ref="P33" si="4">O33+P32</f>
        <v>2063</v>
      </c>
      <c r="Q33">
        <f t="shared" ref="Q33" si="5">P33+Q32</f>
        <v>2263</v>
      </c>
      <c r="R33">
        <f t="shared" ref="R33" si="6">Q33+R32</f>
        <v>2301</v>
      </c>
      <c r="S33">
        <f t="shared" ref="S33" si="7">R33+S32</f>
        <v>2406</v>
      </c>
      <c r="T33">
        <f t="shared" ref="T33:V33" si="8">S33+T32</f>
        <v>2636</v>
      </c>
      <c r="U33">
        <f t="shared" si="8"/>
        <v>2854</v>
      </c>
      <c r="V33">
        <f t="shared" si="8"/>
        <v>2962</v>
      </c>
      <c r="W33">
        <f t="shared" ref="W33" si="9">V33+W32</f>
        <v>3051</v>
      </c>
      <c r="X33">
        <f t="shared" ref="X33" si="10">W33+X32</f>
        <v>3140</v>
      </c>
      <c r="Y33">
        <f t="shared" ref="Y33" si="11">X33+Y32</f>
        <v>3774</v>
      </c>
    </row>
    <row r="34" spans="1:25" x14ac:dyDescent="0.3">
      <c r="A34" s="13" t="s">
        <v>215</v>
      </c>
      <c r="B34">
        <f>Y33</f>
        <v>3774</v>
      </c>
    </row>
    <row r="35" spans="1:25" x14ac:dyDescent="0.3">
      <c r="A35" s="4" t="s">
        <v>39</v>
      </c>
      <c r="B35">
        <f>COUNTBLANK(B30:Y30)-1</f>
        <v>23</v>
      </c>
    </row>
    <row r="36" spans="1:25" x14ac:dyDescent="0.3">
      <c r="A36" s="4" t="s">
        <v>216</v>
      </c>
      <c r="B36" s="2">
        <f>B34/B35</f>
        <v>164.08695652173913</v>
      </c>
    </row>
    <row r="38" spans="1:25" ht="15" thickBot="1" x14ac:dyDescent="0.35"/>
    <row r="39" spans="1:25" ht="18.600000000000001" thickBot="1" x14ac:dyDescent="0.4">
      <c r="A39" s="17" t="s">
        <v>40</v>
      </c>
    </row>
    <row r="41" spans="1:25" x14ac:dyDescent="0.3">
      <c r="A41" s="12" t="s">
        <v>36</v>
      </c>
      <c r="B41" t="s">
        <v>7</v>
      </c>
      <c r="C41" t="s">
        <v>10</v>
      </c>
      <c r="D41" t="s">
        <v>5</v>
      </c>
      <c r="E41" t="s">
        <v>31</v>
      </c>
      <c r="F41" t="s">
        <v>12</v>
      </c>
      <c r="G41" t="s">
        <v>0</v>
      </c>
      <c r="H41" t="s">
        <v>1</v>
      </c>
      <c r="I41" t="s">
        <v>13</v>
      </c>
      <c r="J41" t="s">
        <v>14</v>
      </c>
      <c r="K41" t="s">
        <v>24</v>
      </c>
      <c r="L41" t="s">
        <v>15</v>
      </c>
      <c r="M41" t="s">
        <v>31</v>
      </c>
      <c r="N41" t="s">
        <v>16</v>
      </c>
      <c r="O41" t="s">
        <v>5</v>
      </c>
      <c r="P41" t="s">
        <v>7</v>
      </c>
      <c r="Q41" t="s">
        <v>4</v>
      </c>
      <c r="R41" t="s">
        <v>31</v>
      </c>
      <c r="S41" t="s">
        <v>0</v>
      </c>
      <c r="T41" t="s">
        <v>18</v>
      </c>
      <c r="U41" t="s">
        <v>1</v>
      </c>
      <c r="V41" t="s">
        <v>31</v>
      </c>
      <c r="W41" t="s">
        <v>5</v>
      </c>
      <c r="X41" t="s">
        <v>31</v>
      </c>
      <c r="Y41" t="s">
        <v>17</v>
      </c>
    </row>
    <row r="42" spans="1:25" x14ac:dyDescent="0.3">
      <c r="A42" s="12" t="s">
        <v>37</v>
      </c>
      <c r="C42">
        <v>5</v>
      </c>
      <c r="D42">
        <v>143</v>
      </c>
      <c r="E42">
        <v>89</v>
      </c>
      <c r="F42">
        <v>5</v>
      </c>
      <c r="G42">
        <v>110</v>
      </c>
      <c r="H42">
        <v>13</v>
      </c>
      <c r="I42">
        <v>274</v>
      </c>
      <c r="J42">
        <v>167</v>
      </c>
      <c r="K42">
        <v>294</v>
      </c>
      <c r="L42">
        <v>137</v>
      </c>
      <c r="M42">
        <v>539</v>
      </c>
      <c r="N42">
        <v>50</v>
      </c>
      <c r="O42">
        <v>89</v>
      </c>
      <c r="P42">
        <v>148</v>
      </c>
      <c r="Q42">
        <v>200</v>
      </c>
      <c r="R42">
        <v>38</v>
      </c>
      <c r="S42">
        <v>105</v>
      </c>
      <c r="T42">
        <v>230</v>
      </c>
      <c r="U42">
        <v>218</v>
      </c>
      <c r="V42">
        <v>108</v>
      </c>
      <c r="W42">
        <v>89</v>
      </c>
      <c r="X42">
        <v>89</v>
      </c>
      <c r="Y42">
        <v>634</v>
      </c>
    </row>
    <row r="43" spans="1:25" x14ac:dyDescent="0.3">
      <c r="A43" s="12" t="s">
        <v>42</v>
      </c>
      <c r="B43" s="2">
        <v>809</v>
      </c>
      <c r="C43" s="2"/>
      <c r="D43" s="2"/>
      <c r="E43" s="2">
        <v>735</v>
      </c>
      <c r="F43" s="2"/>
      <c r="G43" s="2"/>
      <c r="H43" s="2"/>
      <c r="I43" s="2">
        <v>264</v>
      </c>
      <c r="J43" s="2">
        <v>316</v>
      </c>
      <c r="K43" s="2">
        <v>329</v>
      </c>
      <c r="L43" s="2">
        <v>794</v>
      </c>
      <c r="M43" s="2"/>
      <c r="N43" s="2">
        <v>586</v>
      </c>
      <c r="O43" s="2"/>
      <c r="P43" s="2">
        <v>643</v>
      </c>
      <c r="Q43" s="2"/>
      <c r="R43" s="2">
        <v>116</v>
      </c>
      <c r="S43" s="2"/>
      <c r="T43" s="2">
        <v>423</v>
      </c>
      <c r="U43" s="2"/>
      <c r="V43" s="2">
        <v>102</v>
      </c>
      <c r="W43" s="2"/>
      <c r="X43" s="2"/>
      <c r="Y43" s="2"/>
    </row>
    <row r="44" spans="1:25" x14ac:dyDescent="0.3">
      <c r="A44" s="16" t="s">
        <v>79</v>
      </c>
      <c r="B44" s="2">
        <f>263/809*0.9+201/809*0.8+345/809*1.56</f>
        <v>1.1566131025957973</v>
      </c>
      <c r="C44" s="2"/>
      <c r="D44" s="2"/>
      <c r="E44" s="2">
        <f>411/735*1.1+216/735*1.5+59/735*1.14+49/735*1.7</f>
        <v>1.2607619047619048</v>
      </c>
      <c r="F44" s="2"/>
      <c r="G44" s="2"/>
      <c r="H44" s="2"/>
      <c r="I44" s="2">
        <v>1.36</v>
      </c>
      <c r="J44" s="2">
        <v>1.36</v>
      </c>
      <c r="K44" s="2">
        <v>1.58</v>
      </c>
      <c r="L44" s="2">
        <v>0.83</v>
      </c>
      <c r="M44" s="2"/>
      <c r="N44" s="2">
        <f>192/586*1.14+394/586*1.2</f>
        <v>1.1803412969283276</v>
      </c>
      <c r="O44" s="2"/>
      <c r="P44" s="2">
        <f>310/643*1.48+192/643*1.57+141/643*1.04</f>
        <v>1.410388802488336</v>
      </c>
      <c r="Q44" s="2"/>
      <c r="R44" s="2">
        <v>1.53</v>
      </c>
      <c r="S44" s="2"/>
      <c r="T44" s="2">
        <v>1.57</v>
      </c>
      <c r="U44" s="2"/>
      <c r="V44" s="2">
        <v>1.53</v>
      </c>
      <c r="W44" s="2"/>
      <c r="X44" s="2"/>
      <c r="Y44" s="2"/>
    </row>
    <row r="45" spans="1:25" x14ac:dyDescent="0.3">
      <c r="A45" t="s">
        <v>85</v>
      </c>
      <c r="B45" s="2">
        <f>B43*B44</f>
        <v>935.7</v>
      </c>
      <c r="C45" s="2"/>
      <c r="D45" s="2"/>
      <c r="E45" s="2">
        <f t="shared" ref="E45:V45" si="12">E43*E44</f>
        <v>926.66</v>
      </c>
      <c r="F45" s="2"/>
      <c r="G45" s="2"/>
      <c r="H45" s="2"/>
      <c r="I45" s="2">
        <f t="shared" si="12"/>
        <v>359.04</v>
      </c>
      <c r="J45" s="2">
        <f t="shared" si="12"/>
        <v>429.76000000000005</v>
      </c>
      <c r="K45" s="2">
        <f t="shared" si="12"/>
        <v>519.82000000000005</v>
      </c>
      <c r="L45" s="2">
        <f t="shared" si="12"/>
        <v>659.02</v>
      </c>
      <c r="M45" s="2"/>
      <c r="N45" s="2">
        <f t="shared" si="12"/>
        <v>691.68</v>
      </c>
      <c r="O45" s="2"/>
      <c r="P45" s="2">
        <f t="shared" si="12"/>
        <v>906.88</v>
      </c>
      <c r="Q45" s="2"/>
      <c r="R45" s="2">
        <f t="shared" si="12"/>
        <v>177.48</v>
      </c>
      <c r="S45" s="2"/>
      <c r="T45" s="2">
        <f t="shared" si="12"/>
        <v>664.11</v>
      </c>
      <c r="U45" s="2"/>
      <c r="V45" s="2">
        <f t="shared" si="12"/>
        <v>156.06</v>
      </c>
      <c r="W45" s="2"/>
      <c r="X45" s="2"/>
      <c r="Y45" s="2"/>
    </row>
    <row r="46" spans="1:25" x14ac:dyDescent="0.3">
      <c r="A46" s="12" t="s">
        <v>43</v>
      </c>
      <c r="B46" s="2">
        <v>415</v>
      </c>
      <c r="C46" s="2">
        <v>345</v>
      </c>
      <c r="D46" s="2">
        <v>201</v>
      </c>
      <c r="E46" s="2"/>
      <c r="F46" s="2"/>
      <c r="G46" s="2">
        <v>470</v>
      </c>
      <c r="H46" s="2">
        <v>263</v>
      </c>
      <c r="I46" s="2">
        <v>265</v>
      </c>
      <c r="J46" s="2"/>
      <c r="K46" s="2"/>
      <c r="L46" s="2"/>
      <c r="M46" s="2">
        <v>601</v>
      </c>
      <c r="N46" s="2"/>
      <c r="O46" s="2">
        <v>616</v>
      </c>
      <c r="P46" s="2">
        <v>586</v>
      </c>
      <c r="Q46" s="2">
        <v>141</v>
      </c>
      <c r="R46" s="2">
        <v>310</v>
      </c>
      <c r="S46" s="2">
        <v>402</v>
      </c>
      <c r="T46" s="2"/>
      <c r="U46" s="2">
        <v>116</v>
      </c>
      <c r="V46" s="2">
        <v>85</v>
      </c>
      <c r="W46" s="2">
        <v>726</v>
      </c>
      <c r="X46" s="2"/>
      <c r="Y46" s="2"/>
    </row>
    <row r="47" spans="1:25" x14ac:dyDescent="0.3">
      <c r="A47" s="16" t="s">
        <v>79</v>
      </c>
      <c r="B47" s="2">
        <v>1.35</v>
      </c>
      <c r="C47" s="2">
        <v>1.56</v>
      </c>
      <c r="D47" s="2">
        <v>0.8</v>
      </c>
      <c r="E47" s="2"/>
      <c r="F47" s="2"/>
      <c r="G47" s="2">
        <f>411/470*1.1+59/470*1.14</f>
        <v>1.1050212765957448</v>
      </c>
      <c r="H47" s="2">
        <v>0.9</v>
      </c>
      <c r="I47" s="2">
        <f>216/265*1.5+49/265*1.7</f>
        <v>1.5369811320754718</v>
      </c>
      <c r="J47" s="2"/>
      <c r="K47" s="2"/>
      <c r="L47" s="2"/>
      <c r="M47" s="2">
        <f>272/601*1.36+329/601*1.58</f>
        <v>1.480432612312812</v>
      </c>
      <c r="N47" s="2"/>
      <c r="O47" s="2">
        <f>466/616*0.83+150/616*1.36</f>
        <v>0.95905844155844155</v>
      </c>
      <c r="P47" s="2">
        <f>192/586*1.14+394/586*1.2</f>
        <v>1.1803412969283276</v>
      </c>
      <c r="Q47" s="2">
        <v>1.04</v>
      </c>
      <c r="R47" s="2">
        <v>1.48</v>
      </c>
      <c r="S47" s="2">
        <f>307/402*0.83+95/402*1.36</f>
        <v>0.95524875621890548</v>
      </c>
      <c r="T47" s="2"/>
      <c r="U47" s="2">
        <v>1.53</v>
      </c>
      <c r="V47" s="2">
        <v>1.57</v>
      </c>
      <c r="W47" s="2">
        <f>339/726*1.57+102/726*1.53+21/726*0.83+187/726*1.57+77/726*0.81</f>
        <v>1.4623691460055097</v>
      </c>
      <c r="X47" s="2"/>
      <c r="Y47" s="2"/>
    </row>
    <row r="48" spans="1:25" x14ac:dyDescent="0.3">
      <c r="A48" t="s">
        <v>85</v>
      </c>
      <c r="B48" s="2">
        <f>B46*B47</f>
        <v>560.25</v>
      </c>
      <c r="C48" s="2">
        <f t="shared" ref="C48:W48" si="13">C46*C47</f>
        <v>538.20000000000005</v>
      </c>
      <c r="D48" s="2">
        <f t="shared" si="13"/>
        <v>160.80000000000001</v>
      </c>
      <c r="E48" s="2"/>
      <c r="F48" s="2"/>
      <c r="G48" s="2">
        <f t="shared" si="13"/>
        <v>519.36</v>
      </c>
      <c r="H48" s="2">
        <f t="shared" si="13"/>
        <v>236.70000000000002</v>
      </c>
      <c r="I48" s="2">
        <f t="shared" si="13"/>
        <v>407.3</v>
      </c>
      <c r="J48" s="2"/>
      <c r="K48" s="2"/>
      <c r="L48" s="2"/>
      <c r="M48" s="2">
        <f t="shared" si="13"/>
        <v>889.74</v>
      </c>
      <c r="N48" s="2"/>
      <c r="O48" s="2">
        <f t="shared" si="13"/>
        <v>590.78</v>
      </c>
      <c r="P48" s="2">
        <f t="shared" si="13"/>
        <v>691.68</v>
      </c>
      <c r="Q48" s="2">
        <f t="shared" si="13"/>
        <v>146.64000000000001</v>
      </c>
      <c r="R48" s="2">
        <f t="shared" si="13"/>
        <v>458.8</v>
      </c>
      <c r="S48" s="2">
        <f t="shared" si="13"/>
        <v>384.01</v>
      </c>
      <c r="T48" s="2"/>
      <c r="U48" s="2">
        <f t="shared" si="13"/>
        <v>177.48</v>
      </c>
      <c r="V48" s="2">
        <f t="shared" si="13"/>
        <v>133.45000000000002</v>
      </c>
      <c r="W48" s="2">
        <f t="shared" si="13"/>
        <v>1061.68</v>
      </c>
      <c r="X48" s="2"/>
      <c r="Y48" s="2"/>
    </row>
    <row r="49" spans="1:25" x14ac:dyDescent="0.3">
      <c r="A49" s="12" t="s">
        <v>41</v>
      </c>
      <c r="B49" s="5"/>
      <c r="C49" s="5">
        <f>(B50+B45-B48)*C42</f>
        <v>4678.5</v>
      </c>
      <c r="D49" s="5">
        <f>(SUM($B$45:C45)+$B$50-SUM($B$48:C48))*D42</f>
        <v>56842.5</v>
      </c>
      <c r="E49" s="5">
        <f>(SUM($B$45:D45)+$B$50-SUM($B$48:D48))*E42</f>
        <v>21066.300000000003</v>
      </c>
      <c r="F49" s="5">
        <f>(SUM($B$45:E45)+$B$50-SUM($B$48:E48))*F42</f>
        <v>5816.8000000000011</v>
      </c>
      <c r="G49" s="5">
        <f>(SUM($B$45:F45)+$B$50-SUM($B$48:F48))*G42</f>
        <v>127969.60000000002</v>
      </c>
      <c r="H49" s="5">
        <f>(SUM($B$45:G45)+$B$50-SUM($B$48:G48))*H42</f>
        <v>8372</v>
      </c>
      <c r="I49" s="5">
        <f>(SUM($B$45:H45)+$B$50-SUM($B$48:H48))*I42</f>
        <v>111600.19999999998</v>
      </c>
      <c r="J49" s="5">
        <f>(SUM($B$45:I45)+$B$50-SUM($B$48:I48))*J42</f>
        <v>59959.679999999993</v>
      </c>
      <c r="K49" s="5">
        <f>(SUM($B$45:J45)+$B$50-SUM($B$48:J48))*K42</f>
        <v>231907.20000000004</v>
      </c>
      <c r="L49" s="5">
        <f>(SUM($B$45:K45)+$B$50-SUM($B$48:K48))*L42</f>
        <v>179280.94000000006</v>
      </c>
      <c r="M49" s="5">
        <f>(SUM($B$45:L45)+$B$50-SUM($B$48:L48))*M42</f>
        <v>1060557.96</v>
      </c>
      <c r="N49" s="5">
        <f>(SUM($B$45:M45)+$B$50-SUM($B$48:M48))*N42</f>
        <v>53894.999999999985</v>
      </c>
      <c r="O49" s="5">
        <f>(SUM($B$45:N45)+$B$50-SUM($B$48:N48))*O42</f>
        <v>157492.62</v>
      </c>
      <c r="P49" s="5">
        <f>(SUM($B$45:O45)+$B$50-SUM($B$48:O48))*P42</f>
        <v>174462.40000000002</v>
      </c>
      <c r="Q49" s="5">
        <f>(SUM($B$45:P45)+$B$50-SUM($B$48:P48))*Q42</f>
        <v>278800</v>
      </c>
      <c r="R49" s="5">
        <f>(SUM($B$45:Q45)+$B$50-SUM($B$48:Q48))*R42</f>
        <v>47399.679999999986</v>
      </c>
      <c r="S49" s="5">
        <f>(SUM($B$45:R45)+$B$50-SUM($B$48:R48))*S42</f>
        <v>101434.1999999999</v>
      </c>
      <c r="T49" s="5">
        <f>(SUM($B$45:S45)+$B$50-SUM($B$48:S48))*T42</f>
        <v>133866.89999999973</v>
      </c>
      <c r="U49" s="5">
        <f>(SUM($B$45:T45)+$B$50-SUM($B$48:T48))*U42</f>
        <v>271658.51999999967</v>
      </c>
      <c r="V49" s="5">
        <f>(SUM($B$45:U45)+$B$50-SUM($B$48:U48))*V42</f>
        <v>115415.27999999988</v>
      </c>
      <c r="W49" s="5">
        <f>(SUM($B$45:V45)+$B$50-SUM($B$48:V48))*W42</f>
        <v>97123.029999999955</v>
      </c>
      <c r="X49" s="5">
        <f>(SUM($B$45:W45)+$B$50-SUM($B$48:W48))*X42</f>
        <v>2633.509999999932</v>
      </c>
      <c r="Y49" s="5">
        <f>(SUM($B$45:X45)+$B$50-SUM($B$48:X48))*Y42</f>
        <v>18760.059999999517</v>
      </c>
    </row>
    <row r="50" spans="1:25" x14ac:dyDescent="0.3">
      <c r="A50" s="12" t="s">
        <v>49</v>
      </c>
      <c r="B50" s="2">
        <v>560.25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3">
      <c r="A51" s="12" t="s">
        <v>44</v>
      </c>
      <c r="B51" s="3">
        <f>SUM(B49:Y49)</f>
        <v>3320992.8799999985</v>
      </c>
    </row>
    <row r="52" spans="1:25" x14ac:dyDescent="0.3">
      <c r="A52" s="12" t="s">
        <v>48</v>
      </c>
      <c r="B52" s="3">
        <v>3200</v>
      </c>
    </row>
    <row r="53" spans="1:25" x14ac:dyDescent="0.3">
      <c r="A53" s="12" t="s">
        <v>45</v>
      </c>
      <c r="B53">
        <f>B52*B34</f>
        <v>12076800</v>
      </c>
    </row>
    <row r="54" spans="1:25" x14ac:dyDescent="0.3">
      <c r="A54" s="13" t="s">
        <v>47</v>
      </c>
      <c r="B54" s="8">
        <f>B51/B53</f>
        <v>0.27498947403285628</v>
      </c>
    </row>
    <row r="55" spans="1:25" x14ac:dyDescent="0.3">
      <c r="B55" s="9">
        <f>1-B54</f>
        <v>0.72501052596714377</v>
      </c>
    </row>
    <row r="56" spans="1:25" x14ac:dyDescent="0.3">
      <c r="A56" s="12"/>
      <c r="B56" s="2"/>
    </row>
    <row r="57" spans="1:25" x14ac:dyDescent="0.3">
      <c r="A57" s="12"/>
      <c r="B57" s="2"/>
    </row>
    <row r="58" spans="1:25" x14ac:dyDescent="0.3">
      <c r="A58" s="12"/>
      <c r="B58" s="2"/>
    </row>
    <row r="59" spans="1:25" x14ac:dyDescent="0.3">
      <c r="A59" s="12"/>
      <c r="B59" s="2"/>
    </row>
    <row r="60" spans="1:25" x14ac:dyDescent="0.3">
      <c r="A60" s="12"/>
      <c r="B60" s="2"/>
    </row>
    <row r="61" spans="1:25" x14ac:dyDescent="0.3">
      <c r="A61" s="12"/>
      <c r="B61" s="2"/>
    </row>
    <row r="62" spans="1:25" x14ac:dyDescent="0.3">
      <c r="A62" s="12"/>
      <c r="B62" s="2"/>
    </row>
    <row r="63" spans="1:25" x14ac:dyDescent="0.3">
      <c r="A63" s="12"/>
      <c r="B63" s="2"/>
    </row>
    <row r="64" spans="1:25" x14ac:dyDescent="0.3">
      <c r="A64" s="12"/>
      <c r="B64" s="2"/>
    </row>
    <row r="65" spans="1:40" x14ac:dyDescent="0.3">
      <c r="A65" s="12"/>
      <c r="B65" s="2"/>
    </row>
    <row r="66" spans="1:40" x14ac:dyDescent="0.3">
      <c r="A66" s="12"/>
      <c r="B66" s="2"/>
    </row>
    <row r="67" spans="1:40" x14ac:dyDescent="0.3">
      <c r="A67" s="12"/>
      <c r="B67" s="2"/>
    </row>
    <row r="68" spans="1:40" ht="15" thickBot="1" x14ac:dyDescent="0.35"/>
    <row r="69" spans="1:40" ht="18.600000000000001" thickBot="1" x14ac:dyDescent="0.4">
      <c r="A69" s="17" t="s">
        <v>52</v>
      </c>
    </row>
    <row r="70" spans="1:40" x14ac:dyDescent="0.3">
      <c r="A70" s="14"/>
    </row>
    <row r="71" spans="1:40" x14ac:dyDescent="0.3">
      <c r="A71" s="13" t="s">
        <v>54</v>
      </c>
      <c r="B71" s="3">
        <f>SUM(B45:X45)</f>
        <v>6426.21</v>
      </c>
    </row>
    <row r="72" spans="1:40" x14ac:dyDescent="0.3">
      <c r="A72" s="13" t="s">
        <v>53</v>
      </c>
      <c r="B72" s="3">
        <f>B51/B34</f>
        <v>879.96631690514005</v>
      </c>
    </row>
    <row r="74" spans="1:40" ht="15" thickBot="1" x14ac:dyDescent="0.35"/>
    <row r="75" spans="1:40" ht="18.600000000000001" thickBot="1" x14ac:dyDescent="0.4">
      <c r="A75" s="17" t="s">
        <v>55</v>
      </c>
    </row>
    <row r="76" spans="1:40" x14ac:dyDescent="0.3">
      <c r="A76" s="14"/>
    </row>
    <row r="77" spans="1:40" x14ac:dyDescent="0.3">
      <c r="A77" s="12" t="s">
        <v>36</v>
      </c>
      <c r="B77" t="s">
        <v>7</v>
      </c>
      <c r="C77" t="s">
        <v>10</v>
      </c>
      <c r="D77" t="s">
        <v>5</v>
      </c>
      <c r="E77" t="s">
        <v>31</v>
      </c>
      <c r="F77" t="s">
        <v>12</v>
      </c>
      <c r="G77" t="s">
        <v>0</v>
      </c>
      <c r="H77" t="s">
        <v>1</v>
      </c>
      <c r="I77" t="s">
        <v>13</v>
      </c>
      <c r="J77" t="s">
        <v>14</v>
      </c>
      <c r="K77" t="s">
        <v>24</v>
      </c>
      <c r="L77" t="s">
        <v>15</v>
      </c>
      <c r="M77" t="s">
        <v>31</v>
      </c>
      <c r="N77" t="s">
        <v>16</v>
      </c>
      <c r="O77" t="s">
        <v>5</v>
      </c>
      <c r="P77" t="s">
        <v>7</v>
      </c>
      <c r="Q77" t="s">
        <v>4</v>
      </c>
      <c r="R77" t="s">
        <v>31</v>
      </c>
      <c r="S77" t="s">
        <v>0</v>
      </c>
      <c r="T77" t="s">
        <v>18</v>
      </c>
      <c r="U77" t="s">
        <v>1</v>
      </c>
      <c r="V77" t="s">
        <v>31</v>
      </c>
      <c r="W77" t="s">
        <v>5</v>
      </c>
      <c r="X77" t="s">
        <v>31</v>
      </c>
      <c r="Y77" t="s">
        <v>17</v>
      </c>
    </row>
    <row r="78" spans="1:40" x14ac:dyDescent="0.3">
      <c r="A78" s="12" t="s">
        <v>57</v>
      </c>
      <c r="B78" s="2">
        <v>11.58</v>
      </c>
      <c r="C78" s="2">
        <v>4.25</v>
      </c>
      <c r="D78" s="2">
        <v>2.83</v>
      </c>
      <c r="E78" s="2">
        <v>42</v>
      </c>
      <c r="F78" s="2">
        <v>2.83</v>
      </c>
      <c r="G78" s="2">
        <v>8.33</v>
      </c>
      <c r="H78" s="2">
        <v>4.42</v>
      </c>
      <c r="I78" s="2">
        <v>9.5</v>
      </c>
      <c r="J78" s="2">
        <v>2.58</v>
      </c>
      <c r="K78" s="2">
        <v>16</v>
      </c>
      <c r="L78" s="2">
        <v>9.83</v>
      </c>
      <c r="M78" s="2">
        <v>8.92</v>
      </c>
      <c r="N78" s="2">
        <v>4.2699999999999996</v>
      </c>
      <c r="O78" s="2">
        <v>8.33</v>
      </c>
      <c r="P78" s="2">
        <v>12.17</v>
      </c>
      <c r="Q78" s="2">
        <v>1.92</v>
      </c>
      <c r="R78" s="2">
        <v>4.58</v>
      </c>
      <c r="S78" s="2">
        <v>3.67</v>
      </c>
      <c r="T78" s="2">
        <v>8.25</v>
      </c>
      <c r="U78" s="2">
        <v>2.17</v>
      </c>
      <c r="V78" s="2">
        <v>5</v>
      </c>
      <c r="W78" s="2">
        <v>25.67</v>
      </c>
      <c r="X78" s="2">
        <v>104.83329999999999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3">
      <c r="A79" s="12" t="s">
        <v>58</v>
      </c>
      <c r="B79" s="2">
        <f>SUM(78:78)</f>
        <v>303.93329999999997</v>
      </c>
    </row>
    <row r="80" spans="1:40" x14ac:dyDescent="0.3">
      <c r="A80" s="12" t="s">
        <v>60</v>
      </c>
      <c r="B80" s="2">
        <v>720.2</v>
      </c>
    </row>
    <row r="81" spans="1:2" x14ac:dyDescent="0.3">
      <c r="A81" s="12" t="s">
        <v>59</v>
      </c>
      <c r="B81" s="2">
        <f>B80-B79</f>
        <v>416.26670000000007</v>
      </c>
    </row>
    <row r="82" spans="1:2" x14ac:dyDescent="0.3">
      <c r="A82" s="13" t="s">
        <v>56</v>
      </c>
      <c r="B82" s="2">
        <v>13.5</v>
      </c>
    </row>
    <row r="83" spans="1:2" x14ac:dyDescent="0.3">
      <c r="A83" s="13" t="s">
        <v>62</v>
      </c>
      <c r="B83" s="2">
        <v>10.199999999999999</v>
      </c>
    </row>
    <row r="84" spans="1:2" x14ac:dyDescent="0.3">
      <c r="A84" s="13" t="s">
        <v>61</v>
      </c>
      <c r="B84" s="2">
        <f>B34/B81</f>
        <v>9.0663029255042478</v>
      </c>
    </row>
    <row r="85" spans="1:2" x14ac:dyDescent="0.3">
      <c r="A85" s="13" t="s">
        <v>63</v>
      </c>
      <c r="B85" s="10">
        <f>B84/B83-1</f>
        <v>-0.11114677200938738</v>
      </c>
    </row>
    <row r="87" spans="1:2" ht="15" thickBot="1" x14ac:dyDescent="0.35"/>
    <row r="88" spans="1:2" ht="18.600000000000001" thickBot="1" x14ac:dyDescent="0.4">
      <c r="A88" s="17" t="s">
        <v>64</v>
      </c>
    </row>
    <row r="90" spans="1:2" x14ac:dyDescent="0.3">
      <c r="A90" s="13" t="s">
        <v>57</v>
      </c>
      <c r="B90" s="8">
        <f>B79/B80</f>
        <v>0.4220123576784226</v>
      </c>
    </row>
    <row r="91" spans="1:2" x14ac:dyDescent="0.3">
      <c r="A91" s="13" t="s">
        <v>59</v>
      </c>
      <c r="B91" s="8">
        <f>B81/B80</f>
        <v>0.5779876423215774</v>
      </c>
    </row>
    <row r="92" spans="1:2" x14ac:dyDescent="0.3">
      <c r="B92" s="8"/>
    </row>
    <row r="93" spans="1:2" x14ac:dyDescent="0.3">
      <c r="B93" s="8"/>
    </row>
    <row r="94" spans="1:2" x14ac:dyDescent="0.3">
      <c r="B94" s="8"/>
    </row>
    <row r="95" spans="1:2" x14ac:dyDescent="0.3">
      <c r="B95" s="8"/>
    </row>
    <row r="96" spans="1:2" x14ac:dyDescent="0.3">
      <c r="B96" s="8"/>
    </row>
    <row r="97" spans="1:25" x14ac:dyDescent="0.3">
      <c r="B97" s="8"/>
    </row>
    <row r="98" spans="1:25" x14ac:dyDescent="0.3">
      <c r="B98" s="8"/>
    </row>
    <row r="99" spans="1:25" x14ac:dyDescent="0.3">
      <c r="B99" s="8"/>
    </row>
    <row r="100" spans="1:25" x14ac:dyDescent="0.3">
      <c r="B100" s="8"/>
    </row>
    <row r="101" spans="1:25" x14ac:dyDescent="0.3">
      <c r="B101" s="8"/>
    </row>
    <row r="102" spans="1:25" ht="15" thickBot="1" x14ac:dyDescent="0.35"/>
    <row r="103" spans="1:25" ht="18.600000000000001" thickBot="1" x14ac:dyDescent="0.4">
      <c r="A103" s="17" t="s">
        <v>65</v>
      </c>
    </row>
    <row r="104" spans="1:25" x14ac:dyDescent="0.3">
      <c r="A104"/>
    </row>
    <row r="105" spans="1:25" x14ac:dyDescent="0.3">
      <c r="A105" t="s">
        <v>36</v>
      </c>
      <c r="B105" t="s">
        <v>7</v>
      </c>
      <c r="C105" t="s">
        <v>10</v>
      </c>
      <c r="D105" t="s">
        <v>5</v>
      </c>
      <c r="E105" t="s">
        <v>31</v>
      </c>
      <c r="F105" t="s">
        <v>12</v>
      </c>
      <c r="G105" t="s">
        <v>0</v>
      </c>
      <c r="H105" t="s">
        <v>1</v>
      </c>
      <c r="I105" t="s">
        <v>13</v>
      </c>
      <c r="J105" t="s">
        <v>14</v>
      </c>
      <c r="K105" t="s">
        <v>24</v>
      </c>
      <c r="L105" t="s">
        <v>15</v>
      </c>
      <c r="M105" t="s">
        <v>31</v>
      </c>
      <c r="N105" t="s">
        <v>16</v>
      </c>
      <c r="O105" t="s">
        <v>5</v>
      </c>
      <c r="P105" t="s">
        <v>7</v>
      </c>
      <c r="Q105" t="s">
        <v>4</v>
      </c>
      <c r="R105" t="s">
        <v>31</v>
      </c>
      <c r="S105" t="s">
        <v>0</v>
      </c>
      <c r="T105" t="s">
        <v>18</v>
      </c>
      <c r="U105" t="s">
        <v>1</v>
      </c>
      <c r="V105" t="s">
        <v>31</v>
      </c>
      <c r="W105" t="s">
        <v>5</v>
      </c>
      <c r="X105" t="s">
        <v>31</v>
      </c>
      <c r="Y105" t="s">
        <v>17</v>
      </c>
    </row>
    <row r="106" spans="1:25" x14ac:dyDescent="0.3">
      <c r="A106" t="s">
        <v>68</v>
      </c>
      <c r="B106" s="2">
        <v>5.47</v>
      </c>
      <c r="C106" s="2"/>
      <c r="D106" s="2"/>
      <c r="E106" s="2">
        <v>5.4166670000000003</v>
      </c>
      <c r="F106" s="2"/>
      <c r="G106" s="2"/>
      <c r="H106" s="2"/>
      <c r="I106" s="2">
        <v>2.25</v>
      </c>
      <c r="J106" s="2">
        <v>1.05</v>
      </c>
      <c r="K106" s="2">
        <v>6.0833000000000004</v>
      </c>
      <c r="L106" s="2">
        <v>4.92</v>
      </c>
      <c r="M106" s="2"/>
      <c r="N106" s="2">
        <v>2.92</v>
      </c>
      <c r="O106" s="2"/>
      <c r="P106" s="2">
        <v>3.95</v>
      </c>
      <c r="Q106" s="2"/>
      <c r="R106" s="2">
        <v>0.62</v>
      </c>
      <c r="S106" s="2"/>
      <c r="T106" s="2">
        <v>5.05</v>
      </c>
      <c r="U106" s="2"/>
      <c r="V106" s="2">
        <v>1.0832999999999999</v>
      </c>
      <c r="W106" s="2"/>
      <c r="X106" s="2"/>
    </row>
    <row r="107" spans="1:25" x14ac:dyDescent="0.3">
      <c r="A107" t="s">
        <v>69</v>
      </c>
      <c r="B107" s="2">
        <v>2.42</v>
      </c>
      <c r="C107" s="2">
        <v>3.4166669999999999</v>
      </c>
      <c r="D107" s="2">
        <v>1.82</v>
      </c>
      <c r="E107" s="2"/>
      <c r="F107" s="2"/>
      <c r="G107" s="2">
        <v>3.5</v>
      </c>
      <c r="H107" s="2">
        <v>1.75</v>
      </c>
      <c r="I107" s="2">
        <v>2.35</v>
      </c>
      <c r="J107" s="2"/>
      <c r="K107" s="2"/>
      <c r="L107" s="2"/>
      <c r="M107" s="2">
        <v>7.5</v>
      </c>
      <c r="N107" s="2"/>
      <c r="O107" s="2">
        <v>5.87</v>
      </c>
      <c r="P107" s="2">
        <v>4.95</v>
      </c>
      <c r="Q107" s="2">
        <v>0.83</v>
      </c>
      <c r="R107" s="2">
        <v>2.4300000000000002</v>
      </c>
      <c r="S107" s="2">
        <v>2.58</v>
      </c>
      <c r="T107" s="2"/>
      <c r="U107" s="2">
        <v>0.33</v>
      </c>
      <c r="V107" s="2">
        <v>1.0833330000000001</v>
      </c>
      <c r="W107" s="2">
        <v>10.34</v>
      </c>
      <c r="X107" s="2"/>
    </row>
    <row r="108" spans="1:25" x14ac:dyDescent="0.3">
      <c r="A108" t="s">
        <v>70</v>
      </c>
      <c r="B108" s="2"/>
      <c r="C108" s="2"/>
      <c r="D108" s="2"/>
      <c r="E108" s="2">
        <v>25.75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>
        <v>102.66670000000001</v>
      </c>
    </row>
    <row r="109" spans="1:25" x14ac:dyDescent="0.3">
      <c r="A109" t="s">
        <v>72</v>
      </c>
      <c r="B109" s="2">
        <f>B78-B106-B107-B108</f>
        <v>3.6900000000000004</v>
      </c>
      <c r="C109" s="2">
        <f t="shared" ref="C109:X109" si="14">C78-C106-C107-C108</f>
        <v>0.8333330000000001</v>
      </c>
      <c r="D109" s="2">
        <f t="shared" si="14"/>
        <v>1.01</v>
      </c>
      <c r="E109" s="2">
        <f t="shared" si="14"/>
        <v>10.833332999999996</v>
      </c>
      <c r="F109" s="2">
        <f t="shared" si="14"/>
        <v>2.83</v>
      </c>
      <c r="G109" s="2">
        <f t="shared" si="14"/>
        <v>4.83</v>
      </c>
      <c r="H109" s="2">
        <f t="shared" si="14"/>
        <v>2.67</v>
      </c>
      <c r="I109" s="2">
        <f t="shared" si="14"/>
        <v>4.9000000000000004</v>
      </c>
      <c r="J109" s="2">
        <f t="shared" si="14"/>
        <v>1.53</v>
      </c>
      <c r="K109" s="2">
        <f t="shared" si="14"/>
        <v>9.9166999999999987</v>
      </c>
      <c r="L109" s="2">
        <f t="shared" si="14"/>
        <v>4.91</v>
      </c>
      <c r="M109" s="2">
        <f t="shared" si="14"/>
        <v>1.42</v>
      </c>
      <c r="N109" s="2">
        <f t="shared" si="14"/>
        <v>1.3499999999999996</v>
      </c>
      <c r="O109" s="2">
        <f t="shared" si="14"/>
        <v>2.46</v>
      </c>
      <c r="P109" s="2">
        <f t="shared" si="14"/>
        <v>3.2699999999999987</v>
      </c>
      <c r="Q109" s="2">
        <f t="shared" si="14"/>
        <v>1.0899999999999999</v>
      </c>
      <c r="R109" s="2">
        <f t="shared" si="14"/>
        <v>1.5299999999999998</v>
      </c>
      <c r="S109" s="2">
        <f t="shared" si="14"/>
        <v>1.0899999999999999</v>
      </c>
      <c r="T109" s="2">
        <f t="shared" si="14"/>
        <v>3.2</v>
      </c>
      <c r="U109" s="2">
        <f t="shared" si="14"/>
        <v>1.8399999999999999</v>
      </c>
      <c r="V109" s="2">
        <f t="shared" si="14"/>
        <v>2.833367</v>
      </c>
      <c r="W109" s="2">
        <f t="shared" si="14"/>
        <v>15.330000000000002</v>
      </c>
      <c r="X109" s="2">
        <f t="shared" si="14"/>
        <v>2.1665999999999883</v>
      </c>
    </row>
    <row r="110" spans="1:25" x14ac:dyDescent="0.3">
      <c r="A110" s="12" t="s">
        <v>73</v>
      </c>
      <c r="B110" s="2">
        <f>SUM(106:106)</f>
        <v>38.813267000000003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5" x14ac:dyDescent="0.3">
      <c r="A111" s="12" t="s">
        <v>86</v>
      </c>
      <c r="B111" s="2">
        <f>SUM(107:107)</f>
        <v>51.17</v>
      </c>
      <c r="C111" s="2"/>
    </row>
    <row r="112" spans="1:25" x14ac:dyDescent="0.3">
      <c r="A112" s="16" t="s">
        <v>74</v>
      </c>
      <c r="B112" s="2">
        <f>SUM(108:108)</f>
        <v>128.41669999999999</v>
      </c>
    </row>
    <row r="113" spans="1:2" x14ac:dyDescent="0.3">
      <c r="A113" s="16" t="s">
        <v>76</v>
      </c>
      <c r="B113" s="2">
        <f>SUM(109:109)</f>
        <v>85.533332999999985</v>
      </c>
    </row>
    <row r="114" spans="1:2" x14ac:dyDescent="0.3">
      <c r="A114" s="13" t="s">
        <v>87</v>
      </c>
      <c r="B114" s="8">
        <f>(B110+B111)/B79</f>
        <v>0.29606254727599779</v>
      </c>
    </row>
    <row r="115" spans="1:2" x14ac:dyDescent="0.3">
      <c r="A115" s="13" t="s">
        <v>66</v>
      </c>
      <c r="B115" s="8">
        <f>B112/B79</f>
        <v>0.4225160586220727</v>
      </c>
    </row>
    <row r="116" spans="1:2" x14ac:dyDescent="0.3">
      <c r="A116" s="13" t="s">
        <v>67</v>
      </c>
      <c r="B116" s="8">
        <f>B113/B79</f>
        <v>0.28142139410192957</v>
      </c>
    </row>
    <row r="127" spans="1:2" ht="15" thickBot="1" x14ac:dyDescent="0.35"/>
    <row r="128" spans="1:2" ht="18.600000000000001" thickBot="1" x14ac:dyDescent="0.4">
      <c r="A128" s="17" t="s">
        <v>126</v>
      </c>
    </row>
    <row r="130" spans="1:7" x14ac:dyDescent="0.3">
      <c r="A130" s="12" t="s">
        <v>135</v>
      </c>
      <c r="B130">
        <v>4824</v>
      </c>
      <c r="E130" t="s">
        <v>138</v>
      </c>
      <c r="F130">
        <v>0.85</v>
      </c>
      <c r="G130" t="s">
        <v>136</v>
      </c>
    </row>
    <row r="131" spans="1:7" x14ac:dyDescent="0.3">
      <c r="A131" s="12" t="s">
        <v>127</v>
      </c>
      <c r="B131">
        <v>1980</v>
      </c>
      <c r="E131" t="s">
        <v>133</v>
      </c>
      <c r="F131">
        <v>8.3800000000000008</v>
      </c>
    </row>
    <row r="132" spans="1:7" x14ac:dyDescent="0.3">
      <c r="A132" s="12" t="s">
        <v>129</v>
      </c>
      <c r="B132">
        <v>9.07</v>
      </c>
      <c r="E132" t="s">
        <v>137</v>
      </c>
      <c r="F132">
        <v>441</v>
      </c>
      <c r="G132" t="s">
        <v>134</v>
      </c>
    </row>
    <row r="133" spans="1:7" x14ac:dyDescent="0.3">
      <c r="A133" s="12" t="s">
        <v>145</v>
      </c>
      <c r="B133" s="8">
        <v>0.65</v>
      </c>
      <c r="F133">
        <f>F132*F130</f>
        <v>374.84999999999997</v>
      </c>
      <c r="G133" t="s">
        <v>139</v>
      </c>
    </row>
    <row r="134" spans="1:7" x14ac:dyDescent="0.3">
      <c r="A134" s="16" t="s">
        <v>146</v>
      </c>
      <c r="B134">
        <f>B131*B133</f>
        <v>1287</v>
      </c>
      <c r="F134">
        <f>F133*F131/1000</f>
        <v>3.1412429999999998</v>
      </c>
      <c r="G134" t="s">
        <v>140</v>
      </c>
    </row>
    <row r="135" spans="1:7" x14ac:dyDescent="0.3">
      <c r="A135" s="12" t="s">
        <v>128</v>
      </c>
      <c r="B135">
        <v>0.19</v>
      </c>
      <c r="F135">
        <f>(F134*1000+880+79)/1000</f>
        <v>4.1002430000000007</v>
      </c>
      <c r="G135" t="s">
        <v>141</v>
      </c>
    </row>
    <row r="136" spans="1:7" x14ac:dyDescent="0.3">
      <c r="A136" s="12" t="s">
        <v>130</v>
      </c>
      <c r="B136" s="2">
        <f>B133*B131*B135</f>
        <v>244.53</v>
      </c>
      <c r="F136">
        <f>F135/F130*1000</f>
        <v>4823.8152941176486</v>
      </c>
      <c r="G136" t="s">
        <v>142</v>
      </c>
    </row>
    <row r="137" spans="1:7" x14ac:dyDescent="0.3">
      <c r="A137" s="12" t="s">
        <v>131</v>
      </c>
      <c r="B137">
        <f>B136*B130/1000</f>
        <v>1179.6127200000001</v>
      </c>
    </row>
    <row r="138" spans="1:7" x14ac:dyDescent="0.3">
      <c r="A138" s="12" t="s">
        <v>132</v>
      </c>
      <c r="B138" s="2">
        <f>B81</f>
        <v>416.26670000000007</v>
      </c>
    </row>
    <row r="139" spans="1:7" x14ac:dyDescent="0.3">
      <c r="A139" s="13" t="s">
        <v>143</v>
      </c>
      <c r="B139">
        <f>B138*B136/1000</f>
        <v>101.78969615100002</v>
      </c>
    </row>
    <row r="140" spans="1:7" x14ac:dyDescent="0.3">
      <c r="A140" s="13" t="s">
        <v>144</v>
      </c>
      <c r="B140">
        <f>B139*B130</f>
        <v>491033.49423242407</v>
      </c>
    </row>
    <row r="142" spans="1:7" ht="15" thickBot="1" x14ac:dyDescent="0.35"/>
    <row r="143" spans="1:7" ht="18.600000000000001" thickBot="1" x14ac:dyDescent="0.4">
      <c r="A143" s="17" t="s">
        <v>157</v>
      </c>
    </row>
    <row r="145" spans="1:2" x14ac:dyDescent="0.3">
      <c r="A145" s="12" t="s">
        <v>153</v>
      </c>
      <c r="B145" s="2">
        <f>B111</f>
        <v>51.17</v>
      </c>
    </row>
    <row r="146" spans="1:2" x14ac:dyDescent="0.3">
      <c r="A146" s="12" t="s">
        <v>156</v>
      </c>
      <c r="B146" s="2">
        <f>SUM(B46:AN46)</f>
        <v>5542</v>
      </c>
    </row>
    <row r="147" spans="1:2" x14ac:dyDescent="0.3">
      <c r="A147" s="13" t="s">
        <v>154</v>
      </c>
      <c r="B147" s="2">
        <f>B146/B145</f>
        <v>108.30564784053156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C156"/>
  <sheetViews>
    <sheetView zoomScaleNormal="100" workbookViewId="0"/>
  </sheetViews>
  <sheetFormatPr baseColWidth="10" defaultRowHeight="14.4" x14ac:dyDescent="0.3"/>
  <cols>
    <col min="1" max="1" width="30.109375" style="13" bestFit="1" customWidth="1"/>
    <col min="2" max="2" width="12.44140625" bestFit="1" customWidth="1"/>
    <col min="59" max="59" width="12.44140625" bestFit="1" customWidth="1"/>
  </cols>
  <sheetData>
    <row r="1" spans="1:55" x14ac:dyDescent="0.3">
      <c r="B1" s="1" t="s">
        <v>92</v>
      </c>
    </row>
    <row r="2" spans="1:55" ht="15" thickBot="1" x14ac:dyDescent="0.35">
      <c r="B2" s="19" t="s">
        <v>98</v>
      </c>
      <c r="T2" s="19" t="s">
        <v>97</v>
      </c>
    </row>
    <row r="3" spans="1:55" ht="18.600000000000001" thickBot="1" x14ac:dyDescent="0.4">
      <c r="A3" s="17" t="s">
        <v>34</v>
      </c>
    </row>
    <row r="5" spans="1:55" x14ac:dyDescent="0.3">
      <c r="A5" s="12" t="s">
        <v>25</v>
      </c>
      <c r="B5" t="s">
        <v>19</v>
      </c>
      <c r="C5" t="s">
        <v>19</v>
      </c>
      <c r="D5" t="s">
        <v>20</v>
      </c>
      <c r="E5" t="s">
        <v>20</v>
      </c>
      <c r="F5" t="s">
        <v>0</v>
      </c>
      <c r="G5" t="s">
        <v>0</v>
      </c>
      <c r="H5" t="s">
        <v>1</v>
      </c>
      <c r="I5" t="s">
        <v>1</v>
      </c>
      <c r="J5" t="s">
        <v>19</v>
      </c>
      <c r="K5" t="s">
        <v>19</v>
      </c>
      <c r="L5" t="s">
        <v>0</v>
      </c>
      <c r="M5" t="s">
        <v>0</v>
      </c>
      <c r="N5" t="s">
        <v>1</v>
      </c>
      <c r="O5" t="s">
        <v>1</v>
      </c>
      <c r="P5" t="s">
        <v>4</v>
      </c>
      <c r="Q5" t="s">
        <v>4</v>
      </c>
      <c r="R5" t="s">
        <v>5</v>
      </c>
      <c r="S5" t="s">
        <v>5</v>
      </c>
      <c r="T5" t="s">
        <v>1</v>
      </c>
      <c r="U5" t="s">
        <v>1</v>
      </c>
      <c r="V5" t="s">
        <v>19</v>
      </c>
      <c r="W5" t="s">
        <v>19</v>
      </c>
      <c r="X5" t="s">
        <v>13</v>
      </c>
      <c r="Y5" t="s">
        <v>13</v>
      </c>
      <c r="Z5" t="s">
        <v>20</v>
      </c>
      <c r="AA5" t="s">
        <v>20</v>
      </c>
      <c r="AB5" t="s">
        <v>1</v>
      </c>
      <c r="AC5" t="s">
        <v>1</v>
      </c>
      <c r="AD5" t="s">
        <v>0</v>
      </c>
      <c r="AE5" t="s">
        <v>0</v>
      </c>
      <c r="AF5" t="s">
        <v>19</v>
      </c>
      <c r="AG5" t="s">
        <v>19</v>
      </c>
      <c r="AH5" t="s">
        <v>13</v>
      </c>
      <c r="AI5" t="s">
        <v>13</v>
      </c>
      <c r="AJ5" t="s">
        <v>21</v>
      </c>
      <c r="AK5" t="s">
        <v>21</v>
      </c>
      <c r="AL5" t="s">
        <v>4</v>
      </c>
      <c r="AM5" t="s">
        <v>4</v>
      </c>
      <c r="AN5" t="s">
        <v>7</v>
      </c>
      <c r="AO5" t="s">
        <v>7</v>
      </c>
      <c r="AP5" t="s">
        <v>22</v>
      </c>
      <c r="AQ5" t="s">
        <v>22</v>
      </c>
      <c r="AR5" t="s">
        <v>19</v>
      </c>
      <c r="AS5" t="s">
        <v>19</v>
      </c>
      <c r="AT5" t="s">
        <v>1</v>
      </c>
      <c r="AU5" t="s">
        <v>1</v>
      </c>
      <c r="AV5" t="s">
        <v>0</v>
      </c>
      <c r="AW5" t="s">
        <v>0</v>
      </c>
      <c r="AX5" t="s">
        <v>4</v>
      </c>
      <c r="AY5" t="s">
        <v>4</v>
      </c>
      <c r="AZ5" t="s">
        <v>5</v>
      </c>
      <c r="BA5" t="s">
        <v>5</v>
      </c>
      <c r="BB5" t="s">
        <v>19</v>
      </c>
      <c r="BC5" t="s">
        <v>19</v>
      </c>
    </row>
    <row r="6" spans="1:55" x14ac:dyDescent="0.3">
      <c r="A6" s="13" t="s">
        <v>28</v>
      </c>
      <c r="B6" s="2">
        <v>0</v>
      </c>
      <c r="C6" s="2">
        <v>103.3</v>
      </c>
      <c r="D6" s="2">
        <f>C6+22.27</f>
        <v>125.57</v>
      </c>
      <c r="E6" s="2">
        <f>D6+44.72</f>
        <v>170.29</v>
      </c>
      <c r="F6" s="2">
        <f>E6+49.05</f>
        <v>219.33999999999997</v>
      </c>
      <c r="G6" s="2">
        <f>F6+6.88</f>
        <v>226.21999999999997</v>
      </c>
      <c r="H6" s="2">
        <f>G6+1.02</f>
        <v>227.23999999999998</v>
      </c>
      <c r="I6" s="2">
        <f>H6+27.78</f>
        <v>255.01999999999998</v>
      </c>
      <c r="J6" s="2">
        <f>I6+36.03</f>
        <v>291.04999999999995</v>
      </c>
      <c r="K6" s="2">
        <f>J6+81</f>
        <v>372.04999999999995</v>
      </c>
      <c r="L6" s="2">
        <f>K6+407</f>
        <v>779.05</v>
      </c>
      <c r="M6" s="2">
        <f>L6+2.97</f>
        <v>782.02</v>
      </c>
      <c r="N6" s="2">
        <f>M6+1.03</f>
        <v>783.05</v>
      </c>
      <c r="O6" s="2">
        <f>N6+16.3</f>
        <v>799.34999999999991</v>
      </c>
      <c r="P6" s="2">
        <f>O6+13.08</f>
        <v>812.43</v>
      </c>
      <c r="Q6" s="2">
        <f>P6+14.63</f>
        <v>827.06</v>
      </c>
      <c r="R6" s="2">
        <f>Q6+5.95</f>
        <v>833.01</v>
      </c>
      <c r="S6" s="2">
        <f>R6+26.2</f>
        <v>859.21</v>
      </c>
      <c r="T6" s="2">
        <f>S6+18.07</f>
        <v>877.28000000000009</v>
      </c>
      <c r="U6" s="2">
        <f>T6+9.43</f>
        <v>886.71</v>
      </c>
      <c r="V6" s="2">
        <f>U6+41.02</f>
        <v>927.73</v>
      </c>
      <c r="W6" s="2">
        <f>V6+41</f>
        <v>968.73</v>
      </c>
      <c r="X6" s="2">
        <f>W6+5</f>
        <v>973.73</v>
      </c>
      <c r="Y6" s="2">
        <f>X6+25.25</f>
        <v>998.98</v>
      </c>
      <c r="Z6" s="2">
        <f>Y6+17.75</f>
        <v>1016.73</v>
      </c>
      <c r="AA6" s="2">
        <f>Z6+28.72</f>
        <v>1045.45</v>
      </c>
      <c r="AB6" s="2">
        <f>AA6+39.73</f>
        <v>1085.18</v>
      </c>
      <c r="AC6" s="2">
        <f>AB6+27.75</f>
        <v>1112.93</v>
      </c>
      <c r="AD6" s="2">
        <f>AC6+1.08</f>
        <v>1114.01</v>
      </c>
      <c r="AE6" s="2">
        <f>AD6+4.08</f>
        <v>1118.0899999999999</v>
      </c>
      <c r="AF6" s="2">
        <f>AE6+39.83</f>
        <v>1157.9199999999998</v>
      </c>
      <c r="AG6" s="2">
        <f>AF6+23.17</f>
        <v>1181.0899999999999</v>
      </c>
      <c r="AH6" s="2">
        <f>AG6+25.25</f>
        <v>1206.3399999999999</v>
      </c>
      <c r="AI6" s="2">
        <f>AH6+8.27</f>
        <v>1214.6099999999999</v>
      </c>
      <c r="AJ6" s="2">
        <f>AI6+25.25</f>
        <v>1239.8599999999999</v>
      </c>
      <c r="AK6" s="2">
        <f>AJ6+0.27</f>
        <v>1240.1299999999999</v>
      </c>
      <c r="AL6" s="2">
        <f>AK6+12.15</f>
        <v>1252.28</v>
      </c>
      <c r="AM6" s="2">
        <f>AL6+8.27</f>
        <v>1260.55</v>
      </c>
      <c r="AN6" s="2">
        <f>AM6+20.33</f>
        <v>1280.8799999999999</v>
      </c>
      <c r="AO6" s="2">
        <f>AN6+18.62</f>
        <v>1299.4999999999998</v>
      </c>
      <c r="AP6" s="2">
        <f>AO6+23.6</f>
        <v>1323.0999999999997</v>
      </c>
      <c r="AQ6" s="2">
        <f>AP6+63.38</f>
        <v>1386.4799999999998</v>
      </c>
      <c r="AR6" s="2">
        <f>AQ6+104.53</f>
        <v>1491.0099999999998</v>
      </c>
      <c r="AS6" s="2">
        <f>AR6+36.68</f>
        <v>1527.6899999999998</v>
      </c>
      <c r="AT6" s="2">
        <f>AS6+39.17</f>
        <v>1566.86</v>
      </c>
      <c r="AU6" s="2">
        <f>AT6+8.88</f>
        <v>1575.74</v>
      </c>
      <c r="AV6" s="2">
        <f>AU6+1.05</f>
        <v>1576.79</v>
      </c>
      <c r="AW6" s="2">
        <f>AV6+18.53</f>
        <v>1595.32</v>
      </c>
      <c r="AX6" s="2">
        <f>AW6+17.33</f>
        <v>1612.6499999999999</v>
      </c>
      <c r="AY6" s="2">
        <f>AX6+12.33</f>
        <v>1624.9799999999998</v>
      </c>
      <c r="AZ6" s="2">
        <f>AY6+10.62</f>
        <v>1635.5999999999997</v>
      </c>
      <c r="BA6" s="2">
        <f>AZ6+15.83</f>
        <v>1651.4299999999996</v>
      </c>
      <c r="BB6" s="2">
        <f>BA6+60.97</f>
        <v>1712.3999999999996</v>
      </c>
      <c r="BC6" s="2">
        <f>BB6+30.65</f>
        <v>1743.0499999999997</v>
      </c>
    </row>
    <row r="7" spans="1:55" x14ac:dyDescent="0.3">
      <c r="A7" s="13" t="s">
        <v>27</v>
      </c>
      <c r="B7">
        <f t="shared" ref="B7:AG7" si="0">VLOOKUP(B5,$B$13:$C$24,2,FALSE)</f>
        <v>52.456949999999999</v>
      </c>
      <c r="C7">
        <f t="shared" si="0"/>
        <v>52.456949999999999</v>
      </c>
      <c r="D7">
        <f t="shared" si="0"/>
        <v>53.539580000000001</v>
      </c>
      <c r="E7">
        <f t="shared" si="0"/>
        <v>53.539580000000001</v>
      </c>
      <c r="F7">
        <f t="shared" si="0"/>
        <v>58.995069999999998</v>
      </c>
      <c r="G7">
        <f t="shared" si="0"/>
        <v>58.995069999999998</v>
      </c>
      <c r="H7">
        <f t="shared" si="0"/>
        <v>58.921900000000001</v>
      </c>
      <c r="I7">
        <f t="shared" si="0"/>
        <v>58.921900000000001</v>
      </c>
      <c r="J7">
        <f t="shared" si="0"/>
        <v>52.456949999999999</v>
      </c>
      <c r="K7">
        <f t="shared" si="0"/>
        <v>52.456949999999999</v>
      </c>
      <c r="L7">
        <f t="shared" si="0"/>
        <v>58.995069999999998</v>
      </c>
      <c r="M7">
        <f t="shared" si="0"/>
        <v>58.995069999999998</v>
      </c>
      <c r="N7">
        <f t="shared" si="0"/>
        <v>58.921900000000001</v>
      </c>
      <c r="O7">
        <f t="shared" si="0"/>
        <v>58.921900000000001</v>
      </c>
      <c r="P7">
        <f t="shared" si="0"/>
        <v>60.811279999999996</v>
      </c>
      <c r="Q7">
        <f t="shared" si="0"/>
        <v>60.811279999999996</v>
      </c>
      <c r="R7">
        <f t="shared" si="0"/>
        <v>61.602170000000001</v>
      </c>
      <c r="S7">
        <f t="shared" si="0"/>
        <v>61.602170000000001</v>
      </c>
      <c r="T7">
        <f t="shared" si="0"/>
        <v>58.921900000000001</v>
      </c>
      <c r="U7">
        <f t="shared" si="0"/>
        <v>58.921900000000001</v>
      </c>
      <c r="V7">
        <f t="shared" si="0"/>
        <v>52.456949999999999</v>
      </c>
      <c r="W7">
        <f t="shared" si="0"/>
        <v>52.456949999999999</v>
      </c>
      <c r="X7">
        <f t="shared" si="0"/>
        <v>55.476460000000003</v>
      </c>
      <c r="Y7">
        <f t="shared" si="0"/>
        <v>55.476460000000003</v>
      </c>
      <c r="Z7">
        <f t="shared" si="0"/>
        <v>53.539580000000001</v>
      </c>
      <c r="AA7">
        <f t="shared" si="0"/>
        <v>53.539580000000001</v>
      </c>
      <c r="AB7">
        <f t="shared" si="0"/>
        <v>58.921900000000001</v>
      </c>
      <c r="AC7">
        <f t="shared" si="0"/>
        <v>58.921900000000001</v>
      </c>
      <c r="AD7">
        <f t="shared" si="0"/>
        <v>58.995069999999998</v>
      </c>
      <c r="AE7">
        <f t="shared" si="0"/>
        <v>58.995069999999998</v>
      </c>
      <c r="AF7">
        <f t="shared" si="0"/>
        <v>52.456949999999999</v>
      </c>
      <c r="AG7">
        <f t="shared" si="0"/>
        <v>52.456949999999999</v>
      </c>
      <c r="AH7">
        <f t="shared" ref="AH7:BC7" si="1">VLOOKUP(AH5,$B$13:$C$24,2,FALSE)</f>
        <v>55.476460000000003</v>
      </c>
      <c r="AI7">
        <f t="shared" si="1"/>
        <v>55.476460000000003</v>
      </c>
      <c r="AJ7">
        <f t="shared" si="1"/>
        <v>59.413580000000003</v>
      </c>
      <c r="AK7">
        <f t="shared" si="1"/>
        <v>59.413580000000003</v>
      </c>
      <c r="AL7">
        <f t="shared" si="1"/>
        <v>60.811279999999996</v>
      </c>
      <c r="AM7">
        <f t="shared" si="1"/>
        <v>60.811279999999996</v>
      </c>
      <c r="AN7">
        <f t="shared" si="1"/>
        <v>63.110329999999998</v>
      </c>
      <c r="AO7">
        <f t="shared" si="1"/>
        <v>63.110329999999998</v>
      </c>
      <c r="AP7">
        <f t="shared" si="1"/>
        <v>66.021550000000005</v>
      </c>
      <c r="AQ7">
        <f t="shared" si="1"/>
        <v>66.021550000000005</v>
      </c>
      <c r="AR7">
        <f t="shared" si="1"/>
        <v>52.456949999999999</v>
      </c>
      <c r="AS7">
        <f t="shared" si="1"/>
        <v>52.456949999999999</v>
      </c>
      <c r="AT7">
        <f t="shared" si="1"/>
        <v>58.921900000000001</v>
      </c>
      <c r="AU7">
        <f t="shared" si="1"/>
        <v>58.921900000000001</v>
      </c>
      <c r="AV7">
        <f t="shared" si="1"/>
        <v>58.995069999999998</v>
      </c>
      <c r="AW7">
        <f t="shared" si="1"/>
        <v>58.995069999999998</v>
      </c>
      <c r="AX7">
        <f t="shared" si="1"/>
        <v>60.811279999999996</v>
      </c>
      <c r="AY7">
        <f t="shared" si="1"/>
        <v>60.811279999999996</v>
      </c>
      <c r="AZ7">
        <f t="shared" si="1"/>
        <v>61.602170000000001</v>
      </c>
      <c r="BA7">
        <f t="shared" si="1"/>
        <v>61.602170000000001</v>
      </c>
      <c r="BB7">
        <f t="shared" si="1"/>
        <v>52.456949999999999</v>
      </c>
      <c r="BC7">
        <f t="shared" si="1"/>
        <v>52.456949999999999</v>
      </c>
    </row>
    <row r="10" spans="1:55" x14ac:dyDescent="0.3">
      <c r="G10" s="1" t="s">
        <v>29</v>
      </c>
      <c r="N10" s="1" t="s">
        <v>30</v>
      </c>
    </row>
    <row r="12" spans="1:55" x14ac:dyDescent="0.3">
      <c r="B12" s="1" t="s">
        <v>25</v>
      </c>
      <c r="C12" s="1" t="s">
        <v>27</v>
      </c>
    </row>
    <row r="13" spans="1:55" x14ac:dyDescent="0.3">
      <c r="B13" t="s">
        <v>7</v>
      </c>
      <c r="C13" s="29">
        <v>63.110329999999998</v>
      </c>
    </row>
    <row r="14" spans="1:55" x14ac:dyDescent="0.3">
      <c r="B14" t="s">
        <v>5</v>
      </c>
      <c r="C14" s="29">
        <v>61.602170000000001</v>
      </c>
    </row>
    <row r="15" spans="1:55" x14ac:dyDescent="0.3">
      <c r="B15" t="s">
        <v>4</v>
      </c>
      <c r="C15" s="29">
        <v>60.811279999999996</v>
      </c>
    </row>
    <row r="16" spans="1:55" x14ac:dyDescent="0.3">
      <c r="B16" t="s">
        <v>1</v>
      </c>
      <c r="C16" s="29">
        <v>58.921900000000001</v>
      </c>
    </row>
    <row r="17" spans="1:19" x14ac:dyDescent="0.3">
      <c r="B17" t="s">
        <v>0</v>
      </c>
      <c r="C17" s="29">
        <v>58.995069999999998</v>
      </c>
    </row>
    <row r="18" spans="1:19" x14ac:dyDescent="0.3">
      <c r="B18" t="s">
        <v>13</v>
      </c>
      <c r="C18" s="29">
        <v>55.476460000000003</v>
      </c>
    </row>
    <row r="19" spans="1:19" x14ac:dyDescent="0.3">
      <c r="B19" t="s">
        <v>21</v>
      </c>
      <c r="C19" s="29">
        <v>59.413580000000003</v>
      </c>
    </row>
    <row r="20" spans="1:19" x14ac:dyDescent="0.3">
      <c r="B20" t="s">
        <v>19</v>
      </c>
      <c r="C20" s="29">
        <v>52.456949999999999</v>
      </c>
    </row>
    <row r="21" spans="1:19" x14ac:dyDescent="0.3">
      <c r="B21" t="s">
        <v>22</v>
      </c>
      <c r="C21" s="29">
        <v>66.021550000000005</v>
      </c>
    </row>
    <row r="22" spans="1:19" x14ac:dyDescent="0.3">
      <c r="B22" t="s">
        <v>20</v>
      </c>
      <c r="C22" s="29">
        <v>53.539580000000001</v>
      </c>
    </row>
    <row r="24" spans="1:19" ht="15" thickBot="1" x14ac:dyDescent="0.35"/>
    <row r="25" spans="1:19" ht="18.600000000000001" thickBot="1" x14ac:dyDescent="0.4">
      <c r="A25" s="17" t="s">
        <v>35</v>
      </c>
    </row>
    <row r="27" spans="1:19" x14ac:dyDescent="0.3">
      <c r="A27" s="12" t="s">
        <v>36</v>
      </c>
      <c r="B27" t="s">
        <v>0</v>
      </c>
      <c r="C27" t="s">
        <v>1</v>
      </c>
      <c r="D27" t="s">
        <v>4</v>
      </c>
      <c r="E27" t="s">
        <v>5</v>
      </c>
      <c r="F27" t="s">
        <v>1</v>
      </c>
      <c r="G27" t="s">
        <v>19</v>
      </c>
      <c r="H27" t="s">
        <v>19</v>
      </c>
      <c r="I27" t="s">
        <v>13</v>
      </c>
      <c r="J27" t="s">
        <v>20</v>
      </c>
      <c r="K27" t="s">
        <v>1</v>
      </c>
      <c r="L27" t="s">
        <v>0</v>
      </c>
      <c r="M27" t="s">
        <v>19</v>
      </c>
      <c r="N27" t="s">
        <v>13</v>
      </c>
      <c r="O27" t="s">
        <v>21</v>
      </c>
      <c r="P27" t="s">
        <v>4</v>
      </c>
      <c r="Q27" t="s">
        <v>7</v>
      </c>
      <c r="R27" t="s">
        <v>22</v>
      </c>
      <c r="S27" t="s">
        <v>19</v>
      </c>
    </row>
    <row r="28" spans="1:19" x14ac:dyDescent="0.3">
      <c r="A28" s="12" t="s">
        <v>213</v>
      </c>
      <c r="B28">
        <v>0</v>
      </c>
      <c r="C28">
        <v>11</v>
      </c>
      <c r="D28">
        <v>141</v>
      </c>
      <c r="E28">
        <v>66</v>
      </c>
      <c r="F28">
        <v>191</v>
      </c>
      <c r="G28">
        <v>401</v>
      </c>
      <c r="H28">
        <v>117</v>
      </c>
      <c r="I28">
        <v>56</v>
      </c>
      <c r="J28">
        <v>181</v>
      </c>
      <c r="K28">
        <v>382</v>
      </c>
      <c r="L28">
        <v>12</v>
      </c>
      <c r="M28">
        <v>409</v>
      </c>
      <c r="N28">
        <v>243</v>
      </c>
      <c r="O28">
        <v>278</v>
      </c>
      <c r="P28">
        <v>397</v>
      </c>
      <c r="Q28">
        <v>219</v>
      </c>
      <c r="R28">
        <v>286</v>
      </c>
      <c r="S28">
        <v>917</v>
      </c>
    </row>
    <row r="29" spans="1:19" x14ac:dyDescent="0.3">
      <c r="A29" s="12" t="s">
        <v>214</v>
      </c>
      <c r="B29">
        <v>0</v>
      </c>
      <c r="C29">
        <f>B29+C28</f>
        <v>11</v>
      </c>
      <c r="D29">
        <f t="shared" ref="D29:I29" si="2">C29+D28</f>
        <v>152</v>
      </c>
      <c r="E29">
        <f t="shared" si="2"/>
        <v>218</v>
      </c>
      <c r="F29">
        <f t="shared" si="2"/>
        <v>409</v>
      </c>
      <c r="G29">
        <f t="shared" si="2"/>
        <v>810</v>
      </c>
      <c r="H29">
        <f t="shared" si="2"/>
        <v>927</v>
      </c>
      <c r="I29">
        <f t="shared" si="2"/>
        <v>983</v>
      </c>
      <c r="J29">
        <f t="shared" ref="J29" si="3">I29+J28</f>
        <v>1164</v>
      </c>
      <c r="K29">
        <f t="shared" ref="K29" si="4">J29+K28</f>
        <v>1546</v>
      </c>
      <c r="L29">
        <f t="shared" ref="L29" si="5">K29+L28</f>
        <v>1558</v>
      </c>
      <c r="M29">
        <f t="shared" ref="M29" si="6">L29+M28</f>
        <v>1967</v>
      </c>
      <c r="N29">
        <f t="shared" ref="N29:O29" si="7">M29+N28</f>
        <v>2210</v>
      </c>
      <c r="O29">
        <f t="shared" si="7"/>
        <v>2488</v>
      </c>
      <c r="P29">
        <f t="shared" ref="P29" si="8">O29+P28</f>
        <v>2885</v>
      </c>
      <c r="Q29">
        <f t="shared" ref="Q29" si="9">P29+Q28</f>
        <v>3104</v>
      </c>
      <c r="R29">
        <f t="shared" ref="R29" si="10">Q29+R28</f>
        <v>3390</v>
      </c>
      <c r="S29">
        <f t="shared" ref="S29" si="11">R29+S28</f>
        <v>4307</v>
      </c>
    </row>
    <row r="30" spans="1:19" x14ac:dyDescent="0.3">
      <c r="A30" s="13" t="s">
        <v>215</v>
      </c>
      <c r="B30">
        <f>S29</f>
        <v>4307</v>
      </c>
    </row>
    <row r="31" spans="1:19" x14ac:dyDescent="0.3">
      <c r="A31" s="13" t="s">
        <v>39</v>
      </c>
      <c r="B31">
        <f>COUNTBLANK(B26:S26)-1</f>
        <v>17</v>
      </c>
    </row>
    <row r="32" spans="1:19" x14ac:dyDescent="0.3">
      <c r="A32" s="13" t="s">
        <v>216</v>
      </c>
      <c r="B32" s="2">
        <f>B30/B31</f>
        <v>253.35294117647058</v>
      </c>
    </row>
    <row r="34" spans="1:20" ht="15" thickBot="1" x14ac:dyDescent="0.35"/>
    <row r="35" spans="1:20" ht="18.600000000000001" thickBot="1" x14ac:dyDescent="0.4">
      <c r="A35" s="17" t="s">
        <v>40</v>
      </c>
    </row>
    <row r="37" spans="1:20" x14ac:dyDescent="0.3">
      <c r="A37" s="12" t="s">
        <v>36</v>
      </c>
      <c r="B37" t="s">
        <v>0</v>
      </c>
      <c r="C37" t="s">
        <v>1</v>
      </c>
      <c r="D37" t="s">
        <v>4</v>
      </c>
      <c r="E37" t="s">
        <v>5</v>
      </c>
      <c r="F37" t="s">
        <v>1</v>
      </c>
      <c r="G37" t="s">
        <v>19</v>
      </c>
      <c r="H37" t="s">
        <v>19</v>
      </c>
      <c r="I37" t="s">
        <v>13</v>
      </c>
      <c r="J37" t="s">
        <v>20</v>
      </c>
      <c r="K37" t="s">
        <v>1</v>
      </c>
      <c r="L37" t="s">
        <v>0</v>
      </c>
      <c r="M37" t="s">
        <v>19</v>
      </c>
      <c r="N37" t="s">
        <v>13</v>
      </c>
      <c r="O37" t="s">
        <v>21</v>
      </c>
      <c r="P37" t="s">
        <v>4</v>
      </c>
      <c r="Q37" t="s">
        <v>7</v>
      </c>
      <c r="R37" t="s">
        <v>22</v>
      </c>
      <c r="S37" t="s">
        <v>19</v>
      </c>
    </row>
    <row r="38" spans="1:20" x14ac:dyDescent="0.3">
      <c r="A38" s="12" t="s">
        <v>37</v>
      </c>
      <c r="B38">
        <v>0</v>
      </c>
      <c r="C38">
        <v>11</v>
      </c>
      <c r="D38">
        <v>141</v>
      </c>
      <c r="E38">
        <v>66</v>
      </c>
      <c r="F38">
        <v>191</v>
      </c>
      <c r="G38">
        <v>401</v>
      </c>
      <c r="H38">
        <v>117</v>
      </c>
      <c r="I38">
        <v>56</v>
      </c>
      <c r="J38">
        <v>181</v>
      </c>
      <c r="K38">
        <v>382</v>
      </c>
      <c r="L38">
        <v>12</v>
      </c>
      <c r="M38">
        <v>409</v>
      </c>
      <c r="N38">
        <v>243</v>
      </c>
      <c r="O38">
        <v>278</v>
      </c>
      <c r="P38">
        <v>397</v>
      </c>
      <c r="Q38">
        <v>219</v>
      </c>
      <c r="R38">
        <v>286</v>
      </c>
      <c r="S38">
        <v>917</v>
      </c>
    </row>
    <row r="39" spans="1:20" x14ac:dyDescent="0.3">
      <c r="A39" s="12" t="s">
        <v>51</v>
      </c>
      <c r="G39">
        <v>549.44000000000005</v>
      </c>
      <c r="H39">
        <v>88.853300000000004</v>
      </c>
      <c r="J39">
        <v>407</v>
      </c>
      <c r="M39">
        <v>1425.88</v>
      </c>
      <c r="S39">
        <v>1718</v>
      </c>
      <c r="T39">
        <f>SUM(B39:S39)</f>
        <v>4189.1733000000004</v>
      </c>
    </row>
    <row r="40" spans="1:20" x14ac:dyDescent="0.3">
      <c r="A40" s="12" t="s">
        <v>50</v>
      </c>
      <c r="B40">
        <v>140</v>
      </c>
      <c r="C40">
        <v>337</v>
      </c>
      <c r="D40">
        <v>358</v>
      </c>
      <c r="E40">
        <v>578</v>
      </c>
      <c r="F40">
        <v>242</v>
      </c>
      <c r="I40">
        <v>549.44000000000005</v>
      </c>
      <c r="K40">
        <v>407</v>
      </c>
      <c r="L40">
        <v>88.853300000000004</v>
      </c>
      <c r="N40">
        <v>179.88300000000001</v>
      </c>
      <c r="P40">
        <v>200</v>
      </c>
      <c r="Q40">
        <v>550</v>
      </c>
      <c r="R40">
        <v>496</v>
      </c>
      <c r="T40">
        <f>SUM(B40:S40)</f>
        <v>4126.1763000000001</v>
      </c>
    </row>
    <row r="41" spans="1:20" x14ac:dyDescent="0.3">
      <c r="A41" s="12" t="s">
        <v>41</v>
      </c>
      <c r="C41">
        <f>($B$42-B40)*C38</f>
        <v>16665</v>
      </c>
      <c r="D41">
        <f>($B$42-SUM($B$40:C40))*D38</f>
        <v>166098</v>
      </c>
      <c r="E41">
        <f>($B$42-SUM($B$40:D40))*E38</f>
        <v>54120</v>
      </c>
      <c r="F41">
        <f>($B$42-SUM($B$40:E40))*F38</f>
        <v>46222</v>
      </c>
      <c r="G41">
        <f>($B$42-SUM($B$40:F40))*G38</f>
        <v>0</v>
      </c>
      <c r="H41">
        <f>$G$39*H38</f>
        <v>64284.480000000003</v>
      </c>
      <c r="I41">
        <f>(SUM($G$39:H39)-SUM($G$40:H40))*I38</f>
        <v>35744.424800000001</v>
      </c>
      <c r="J41">
        <f>(SUM($G$39:I39)-SUM($G$40:I40))*J38</f>
        <v>16082.447299999998</v>
      </c>
      <c r="K41">
        <f>(SUM($G$39:J39)-SUM($G$40:J40))*K38</f>
        <v>189415.96059999999</v>
      </c>
      <c r="L41">
        <f>(SUM($G$39:K39)-SUM($G$40:K40))*L38</f>
        <v>1066.2395999999999</v>
      </c>
      <c r="M41">
        <f>(SUM($G$39:L39)-SUM($G$40:L40))*M38</f>
        <v>0</v>
      </c>
      <c r="N41">
        <f>(SUM($G$39:M39)-SUM($G$40:M40))*N38</f>
        <v>346488.84000000008</v>
      </c>
      <c r="O41">
        <f>(SUM($G$39:N39)-SUM($G$40:N40))*O38</f>
        <v>346387.16600000008</v>
      </c>
      <c r="P41">
        <f>(SUM($G$39:O39)-SUM($G$40:O40))*P38</f>
        <v>494660.80900000012</v>
      </c>
      <c r="Q41">
        <f>(SUM($G$39:P39)-SUM($G$40:P40))*Q38</f>
        <v>229073.34300000005</v>
      </c>
      <c r="R41">
        <f>(SUM($G$39:Q39)-SUM($G$40:Q40))*R38</f>
        <v>141855.14200000008</v>
      </c>
      <c r="S41">
        <v>0</v>
      </c>
    </row>
    <row r="42" spans="1:20" x14ac:dyDescent="0.3">
      <c r="A42" s="12" t="s">
        <v>49</v>
      </c>
      <c r="B42">
        <v>1655</v>
      </c>
    </row>
    <row r="43" spans="1:20" x14ac:dyDescent="0.3">
      <c r="A43" s="12" t="s">
        <v>44</v>
      </c>
      <c r="B43" s="3">
        <f>SUM(B41:S41)</f>
        <v>2148163.8523000004</v>
      </c>
    </row>
    <row r="44" spans="1:20" x14ac:dyDescent="0.3">
      <c r="A44" s="12" t="s">
        <v>48</v>
      </c>
      <c r="B44" s="3">
        <v>3400</v>
      </c>
    </row>
    <row r="45" spans="1:20" x14ac:dyDescent="0.3">
      <c r="A45" s="12" t="s">
        <v>45</v>
      </c>
      <c r="B45">
        <f>B44*B30</f>
        <v>14643800</v>
      </c>
    </row>
    <row r="46" spans="1:20" x14ac:dyDescent="0.3">
      <c r="A46" s="13" t="s">
        <v>47</v>
      </c>
      <c r="B46" s="8">
        <f>B43/B45</f>
        <v>0.14669442715005671</v>
      </c>
    </row>
    <row r="47" spans="1:20" x14ac:dyDescent="0.3">
      <c r="B47" s="9">
        <f>1-B46</f>
        <v>0.85330557284994324</v>
      </c>
    </row>
    <row r="48" spans="1:20" x14ac:dyDescent="0.3">
      <c r="B48" s="2"/>
    </row>
    <row r="49" spans="1:2" x14ac:dyDescent="0.3">
      <c r="B49" s="2"/>
    </row>
    <row r="50" spans="1:2" x14ac:dyDescent="0.3">
      <c r="B50" s="2"/>
    </row>
    <row r="51" spans="1:2" x14ac:dyDescent="0.3">
      <c r="B51" s="2"/>
    </row>
    <row r="52" spans="1:2" x14ac:dyDescent="0.3">
      <c r="B52" s="2"/>
    </row>
    <row r="53" spans="1:2" x14ac:dyDescent="0.3">
      <c r="B53" s="2"/>
    </row>
    <row r="54" spans="1:2" x14ac:dyDescent="0.3">
      <c r="B54" s="2"/>
    </row>
    <row r="55" spans="1:2" x14ac:dyDescent="0.3">
      <c r="B55" s="2"/>
    </row>
    <row r="56" spans="1:2" x14ac:dyDescent="0.3">
      <c r="B56" s="2"/>
    </row>
    <row r="57" spans="1:2" x14ac:dyDescent="0.3">
      <c r="B57" s="2"/>
    </row>
    <row r="58" spans="1:2" x14ac:dyDescent="0.3">
      <c r="B58" s="2"/>
    </row>
    <row r="59" spans="1:2" ht="15" thickBot="1" x14ac:dyDescent="0.35"/>
    <row r="60" spans="1:2" ht="18.600000000000001" thickBot="1" x14ac:dyDescent="0.4">
      <c r="A60" s="17" t="s">
        <v>52</v>
      </c>
    </row>
    <row r="61" spans="1:2" x14ac:dyDescent="0.3">
      <c r="A61"/>
    </row>
    <row r="62" spans="1:2" x14ac:dyDescent="0.3">
      <c r="A62" s="13" t="s">
        <v>54</v>
      </c>
      <c r="B62" s="3">
        <f>B42+G39+H39+M39+J39</f>
        <v>4126.1733000000004</v>
      </c>
    </row>
    <row r="63" spans="1:2" x14ac:dyDescent="0.3">
      <c r="A63" s="13" t="s">
        <v>53</v>
      </c>
      <c r="B63" s="3">
        <f>B43/B30</f>
        <v>498.76105231019278</v>
      </c>
    </row>
    <row r="65" spans="1:19" ht="15" thickBot="1" x14ac:dyDescent="0.35"/>
    <row r="66" spans="1:19" ht="18.600000000000001" thickBot="1" x14ac:dyDescent="0.4">
      <c r="A66" s="17" t="s">
        <v>55</v>
      </c>
    </row>
    <row r="67" spans="1:19" x14ac:dyDescent="0.3">
      <c r="B67" s="2"/>
    </row>
    <row r="68" spans="1:19" x14ac:dyDescent="0.3">
      <c r="A68" s="12" t="s">
        <v>36</v>
      </c>
      <c r="B68" t="s">
        <v>0</v>
      </c>
      <c r="C68" t="s">
        <v>1</v>
      </c>
      <c r="D68" t="s">
        <v>4</v>
      </c>
      <c r="E68" t="s">
        <v>5</v>
      </c>
      <c r="F68" t="s">
        <v>1</v>
      </c>
      <c r="G68" t="s">
        <v>19</v>
      </c>
      <c r="H68" t="s">
        <v>19</v>
      </c>
      <c r="I68" t="s">
        <v>13</v>
      </c>
      <c r="J68" t="s">
        <v>20</v>
      </c>
      <c r="K68" t="s">
        <v>1</v>
      </c>
      <c r="L68" t="s">
        <v>0</v>
      </c>
      <c r="M68" t="s">
        <v>19</v>
      </c>
      <c r="N68" t="s">
        <v>13</v>
      </c>
      <c r="O68" t="s">
        <v>21</v>
      </c>
      <c r="P68" t="s">
        <v>4</v>
      </c>
      <c r="Q68" t="s">
        <v>7</v>
      </c>
      <c r="R68" t="s">
        <v>22</v>
      </c>
      <c r="S68" t="s">
        <v>19</v>
      </c>
    </row>
    <row r="69" spans="1:19" x14ac:dyDescent="0.3">
      <c r="A69" s="12" t="s">
        <v>57</v>
      </c>
      <c r="B69">
        <v>2.97</v>
      </c>
      <c r="C69">
        <v>16.3</v>
      </c>
      <c r="D69">
        <v>14.63</v>
      </c>
      <c r="E69">
        <v>26.2</v>
      </c>
      <c r="F69">
        <v>9.43</v>
      </c>
      <c r="G69">
        <v>24.53</v>
      </c>
      <c r="H69">
        <v>3.4</v>
      </c>
      <c r="I69">
        <v>25.25</v>
      </c>
      <c r="J69">
        <v>28.72</v>
      </c>
      <c r="K69">
        <v>27.75</v>
      </c>
      <c r="L69">
        <v>4.08</v>
      </c>
      <c r="M69">
        <v>23.17</v>
      </c>
      <c r="N69">
        <v>8.27</v>
      </c>
      <c r="O69">
        <v>0.27</v>
      </c>
      <c r="P69">
        <v>8.27</v>
      </c>
      <c r="Q69">
        <v>18.62</v>
      </c>
      <c r="R69">
        <v>63.38</v>
      </c>
      <c r="S69">
        <v>36.380000000000003</v>
      </c>
    </row>
    <row r="70" spans="1:19" x14ac:dyDescent="0.3">
      <c r="A70" s="12" t="s">
        <v>58</v>
      </c>
      <c r="B70">
        <f>SUM(B69:S69)</f>
        <v>341.62000000000006</v>
      </c>
    </row>
    <row r="71" spans="1:19" x14ac:dyDescent="0.3">
      <c r="A71" s="12" t="s">
        <v>60</v>
      </c>
      <c r="B71">
        <v>750.15</v>
      </c>
    </row>
    <row r="72" spans="1:19" x14ac:dyDescent="0.3">
      <c r="A72" s="12" t="s">
        <v>59</v>
      </c>
      <c r="B72">
        <f>B71-B70</f>
        <v>408.52999999999992</v>
      </c>
    </row>
    <row r="73" spans="1:19" x14ac:dyDescent="0.3">
      <c r="A73" s="13" t="s">
        <v>56</v>
      </c>
      <c r="B73" s="2">
        <v>12</v>
      </c>
    </row>
    <row r="74" spans="1:19" x14ac:dyDescent="0.3">
      <c r="A74" s="13" t="s">
        <v>62</v>
      </c>
      <c r="B74" s="2">
        <v>9.5</v>
      </c>
    </row>
    <row r="75" spans="1:19" x14ac:dyDescent="0.3">
      <c r="A75" s="13" t="s">
        <v>61</v>
      </c>
      <c r="B75" s="2">
        <f>B30/B72</f>
        <v>10.542677404352192</v>
      </c>
    </row>
    <row r="76" spans="1:19" x14ac:dyDescent="0.3">
      <c r="A76" s="13" t="s">
        <v>63</v>
      </c>
      <c r="B76" s="10">
        <f>B75/B74-1</f>
        <v>0.10975551624759916</v>
      </c>
    </row>
    <row r="78" spans="1:19" ht="15" thickBot="1" x14ac:dyDescent="0.35"/>
    <row r="79" spans="1:19" ht="18.600000000000001" thickBot="1" x14ac:dyDescent="0.4">
      <c r="A79" s="17" t="s">
        <v>64</v>
      </c>
    </row>
    <row r="81" spans="1:19" x14ac:dyDescent="0.3">
      <c r="A81" s="13" t="s">
        <v>57</v>
      </c>
      <c r="B81" s="8">
        <f>B70/B71</f>
        <v>0.45540225288275687</v>
      </c>
    </row>
    <row r="82" spans="1:19" x14ac:dyDescent="0.3">
      <c r="A82" s="13" t="s">
        <v>59</v>
      </c>
      <c r="B82" s="8">
        <f>B72/B71</f>
        <v>0.54459774711724307</v>
      </c>
    </row>
    <row r="83" spans="1:19" x14ac:dyDescent="0.3">
      <c r="B83" s="8"/>
    </row>
    <row r="84" spans="1:19" x14ac:dyDescent="0.3">
      <c r="B84" s="8"/>
    </row>
    <row r="85" spans="1:19" x14ac:dyDescent="0.3">
      <c r="B85" s="8"/>
    </row>
    <row r="86" spans="1:19" x14ac:dyDescent="0.3">
      <c r="B86" s="8"/>
    </row>
    <row r="87" spans="1:19" x14ac:dyDescent="0.3">
      <c r="B87" s="8"/>
    </row>
    <row r="88" spans="1:19" x14ac:dyDescent="0.3">
      <c r="B88" s="8"/>
    </row>
    <row r="89" spans="1:19" x14ac:dyDescent="0.3">
      <c r="B89" s="8"/>
    </row>
    <row r="90" spans="1:19" x14ac:dyDescent="0.3">
      <c r="B90" s="8"/>
    </row>
    <row r="91" spans="1:19" x14ac:dyDescent="0.3">
      <c r="B91" s="8"/>
    </row>
    <row r="92" spans="1:19" x14ac:dyDescent="0.3">
      <c r="B92" s="8"/>
    </row>
    <row r="93" spans="1:19" ht="15" thickBot="1" x14ac:dyDescent="0.35"/>
    <row r="94" spans="1:19" ht="18.600000000000001" thickBot="1" x14ac:dyDescent="0.4">
      <c r="A94" s="17" t="s">
        <v>65</v>
      </c>
    </row>
    <row r="95" spans="1:19" x14ac:dyDescent="0.3">
      <c r="A95"/>
    </row>
    <row r="96" spans="1:19" x14ac:dyDescent="0.3">
      <c r="A96" t="s">
        <v>36</v>
      </c>
      <c r="B96" t="s">
        <v>0</v>
      </c>
      <c r="C96" t="s">
        <v>1</v>
      </c>
      <c r="D96" t="s">
        <v>4</v>
      </c>
      <c r="E96" t="s">
        <v>5</v>
      </c>
      <c r="F96" t="s">
        <v>1</v>
      </c>
      <c r="G96" t="s">
        <v>19</v>
      </c>
      <c r="H96" t="s">
        <v>19</v>
      </c>
      <c r="I96" t="s">
        <v>13</v>
      </c>
      <c r="J96" t="s">
        <v>20</v>
      </c>
      <c r="K96" t="s">
        <v>1</v>
      </c>
      <c r="L96" t="s">
        <v>0</v>
      </c>
      <c r="M96" t="s">
        <v>19</v>
      </c>
      <c r="N96" t="s">
        <v>13</v>
      </c>
      <c r="O96" t="s">
        <v>21</v>
      </c>
      <c r="P96" t="s">
        <v>4</v>
      </c>
      <c r="Q96" t="s">
        <v>7</v>
      </c>
      <c r="R96" t="s">
        <v>22</v>
      </c>
      <c r="S96" t="s">
        <v>19</v>
      </c>
    </row>
    <row r="97" spans="1:19" x14ac:dyDescent="0.3">
      <c r="A97" t="s">
        <v>89</v>
      </c>
      <c r="B97">
        <v>2.59</v>
      </c>
      <c r="C97">
        <v>9.0500000000000007</v>
      </c>
      <c r="D97">
        <v>12</v>
      </c>
      <c r="E97">
        <v>16.75</v>
      </c>
      <c r="F97">
        <v>6.58</v>
      </c>
      <c r="G97">
        <v>17.889728999999999</v>
      </c>
      <c r="H97">
        <v>2.4796199999999997</v>
      </c>
      <c r="I97">
        <v>18.414825</v>
      </c>
      <c r="J97">
        <v>20.945495999999999</v>
      </c>
      <c r="K97">
        <v>19.350000000000001</v>
      </c>
      <c r="L97">
        <v>2.9755439999999997</v>
      </c>
      <c r="M97">
        <v>16.897881000000002</v>
      </c>
      <c r="N97">
        <v>6.0313109999999996</v>
      </c>
      <c r="P97">
        <v>2.27</v>
      </c>
      <c r="Q97">
        <v>3.21</v>
      </c>
      <c r="R97">
        <v>46.223033999999998</v>
      </c>
      <c r="S97">
        <v>26.75</v>
      </c>
    </row>
    <row r="98" spans="1:19" x14ac:dyDescent="0.3">
      <c r="A98" t="s">
        <v>72</v>
      </c>
      <c r="B98">
        <f>B69-B97</f>
        <v>0.38000000000000034</v>
      </c>
      <c r="C98">
        <f t="shared" ref="C98:S98" si="12">C69-C97</f>
        <v>7.25</v>
      </c>
      <c r="D98">
        <f t="shared" si="12"/>
        <v>2.6300000000000008</v>
      </c>
      <c r="E98">
        <f t="shared" si="12"/>
        <v>9.4499999999999993</v>
      </c>
      <c r="F98">
        <f t="shared" si="12"/>
        <v>2.8499999999999996</v>
      </c>
      <c r="G98">
        <f t="shared" si="12"/>
        <v>6.640271000000002</v>
      </c>
      <c r="H98">
        <f t="shared" si="12"/>
        <v>0.9203800000000002</v>
      </c>
      <c r="I98">
        <f t="shared" si="12"/>
        <v>6.8351749999999996</v>
      </c>
      <c r="J98">
        <f t="shared" si="12"/>
        <v>7.7745040000000003</v>
      </c>
      <c r="K98">
        <f t="shared" si="12"/>
        <v>8.3999999999999986</v>
      </c>
      <c r="L98">
        <f t="shared" si="12"/>
        <v>1.1044560000000003</v>
      </c>
      <c r="M98">
        <f t="shared" si="12"/>
        <v>6.272119</v>
      </c>
      <c r="N98">
        <f t="shared" si="12"/>
        <v>2.2386889999999999</v>
      </c>
      <c r="O98">
        <f t="shared" si="12"/>
        <v>0.27</v>
      </c>
      <c r="P98">
        <f t="shared" si="12"/>
        <v>6</v>
      </c>
      <c r="Q98">
        <f t="shared" si="12"/>
        <v>15.41</v>
      </c>
      <c r="R98">
        <f t="shared" si="12"/>
        <v>17.156966000000004</v>
      </c>
      <c r="S98">
        <f t="shared" si="12"/>
        <v>9.6300000000000026</v>
      </c>
    </row>
    <row r="99" spans="1:19" x14ac:dyDescent="0.3">
      <c r="A99" s="12" t="s">
        <v>90</v>
      </c>
      <c r="B99">
        <f>SUM(97:97)</f>
        <v>230.40744000000001</v>
      </c>
    </row>
    <row r="100" spans="1:19" x14ac:dyDescent="0.3">
      <c r="A100" s="16" t="s">
        <v>76</v>
      </c>
      <c r="B100">
        <f>SUM(98:98)</f>
        <v>111.21256</v>
      </c>
    </row>
    <row r="101" spans="1:19" x14ac:dyDescent="0.3">
      <c r="A101" s="13" t="s">
        <v>87</v>
      </c>
      <c r="B101" s="8">
        <f>B99/B70</f>
        <v>0.67445535975645443</v>
      </c>
    </row>
    <row r="102" spans="1:19" x14ac:dyDescent="0.3">
      <c r="A102" s="13" t="s">
        <v>67</v>
      </c>
      <c r="B102" s="8">
        <f>B100/B70</f>
        <v>0.3255446402435454</v>
      </c>
    </row>
    <row r="116" spans="1:7" ht="15" thickBot="1" x14ac:dyDescent="0.35"/>
    <row r="117" spans="1:7" ht="18.600000000000001" thickBot="1" x14ac:dyDescent="0.4">
      <c r="A117" s="17" t="s">
        <v>126</v>
      </c>
    </row>
    <row r="119" spans="1:7" x14ac:dyDescent="0.3">
      <c r="A119" s="12" t="s">
        <v>135</v>
      </c>
      <c r="B119">
        <v>4824</v>
      </c>
      <c r="E119" t="s">
        <v>138</v>
      </c>
      <c r="F119">
        <v>0.85</v>
      </c>
      <c r="G119" t="s">
        <v>136</v>
      </c>
    </row>
    <row r="120" spans="1:7" x14ac:dyDescent="0.3">
      <c r="A120" s="12" t="s">
        <v>127</v>
      </c>
      <c r="B120">
        <v>1470</v>
      </c>
      <c r="E120" t="s">
        <v>133</v>
      </c>
      <c r="F120">
        <v>8.3800000000000008</v>
      </c>
    </row>
    <row r="121" spans="1:7" x14ac:dyDescent="0.3">
      <c r="A121" s="12" t="s">
        <v>129</v>
      </c>
      <c r="B121">
        <v>10.55</v>
      </c>
    </row>
    <row r="122" spans="1:7" x14ac:dyDescent="0.3">
      <c r="A122" s="12" t="s">
        <v>145</v>
      </c>
      <c r="B122" s="8">
        <v>0.85</v>
      </c>
      <c r="E122" t="s">
        <v>137</v>
      </c>
      <c r="F122">
        <v>441</v>
      </c>
      <c r="G122" t="s">
        <v>134</v>
      </c>
    </row>
    <row r="123" spans="1:7" x14ac:dyDescent="0.3">
      <c r="A123" s="16" t="s">
        <v>146</v>
      </c>
      <c r="B123">
        <f>B120*B122</f>
        <v>1249.5</v>
      </c>
      <c r="F123">
        <f>F122*F119</f>
        <v>374.84999999999997</v>
      </c>
      <c r="G123" t="s">
        <v>139</v>
      </c>
    </row>
    <row r="124" spans="1:7" x14ac:dyDescent="0.3">
      <c r="A124" s="12" t="s">
        <v>128</v>
      </c>
      <c r="B124">
        <v>0.21</v>
      </c>
      <c r="F124">
        <f>F123*F120/1000</f>
        <v>3.1412429999999998</v>
      </c>
      <c r="G124" t="s">
        <v>140</v>
      </c>
    </row>
    <row r="125" spans="1:7" x14ac:dyDescent="0.3">
      <c r="A125" s="12" t="s">
        <v>130</v>
      </c>
      <c r="B125" s="2">
        <f>B122*B120*B124</f>
        <v>262.39499999999998</v>
      </c>
      <c r="F125">
        <f>(F124*1000+880+79)/1000</f>
        <v>4.1002430000000007</v>
      </c>
      <c r="G125" t="s">
        <v>141</v>
      </c>
    </row>
    <row r="126" spans="1:7" x14ac:dyDescent="0.3">
      <c r="A126" s="12" t="s">
        <v>131</v>
      </c>
      <c r="B126">
        <f>B125*B119/1000</f>
        <v>1265.79348</v>
      </c>
      <c r="F126">
        <f>F125/F119*1000</f>
        <v>4823.8152941176486</v>
      </c>
      <c r="G126" t="s">
        <v>142</v>
      </c>
    </row>
    <row r="127" spans="1:7" x14ac:dyDescent="0.3">
      <c r="A127" s="12" t="s">
        <v>132</v>
      </c>
      <c r="B127" s="2">
        <f>B72</f>
        <v>408.52999999999992</v>
      </c>
    </row>
    <row r="128" spans="1:7" x14ac:dyDescent="0.3">
      <c r="A128" s="13" t="s">
        <v>143</v>
      </c>
      <c r="B128">
        <f>B127*B125/1000</f>
        <v>107.19622934999997</v>
      </c>
    </row>
    <row r="129" spans="1:9" x14ac:dyDescent="0.3">
      <c r="A129" s="13" t="s">
        <v>144</v>
      </c>
      <c r="B129">
        <f>B128*B119</f>
        <v>517114.61038439983</v>
      </c>
    </row>
    <row r="131" spans="1:9" ht="15" thickBot="1" x14ac:dyDescent="0.35"/>
    <row r="132" spans="1:9" ht="18.600000000000001" thickBot="1" x14ac:dyDescent="0.4">
      <c r="A132" s="17" t="s">
        <v>151</v>
      </c>
    </row>
    <row r="134" spans="1:9" x14ac:dyDescent="0.3">
      <c r="B134" t="s">
        <v>0</v>
      </c>
      <c r="C134" t="s">
        <v>1</v>
      </c>
      <c r="D134" t="s">
        <v>2</v>
      </c>
      <c r="E134" t="s">
        <v>31</v>
      </c>
      <c r="F134" t="s">
        <v>4</v>
      </c>
      <c r="G134" t="s">
        <v>5</v>
      </c>
      <c r="H134" t="s">
        <v>7</v>
      </c>
      <c r="I134" t="s">
        <v>149</v>
      </c>
    </row>
    <row r="135" spans="1:9" x14ac:dyDescent="0.3">
      <c r="A135" s="13" t="s">
        <v>148</v>
      </c>
      <c r="B135">
        <f>SUMIF($B$37:$S$37,B134,$B$40:$S$40)</f>
        <v>228.85329999999999</v>
      </c>
      <c r="C135">
        <f t="shared" ref="C135:I135" si="13">SUMIF($B$37:$S$37,C134,$B$40:$S$40)</f>
        <v>986</v>
      </c>
      <c r="D135">
        <f t="shared" si="13"/>
        <v>0</v>
      </c>
      <c r="E135">
        <f t="shared" si="13"/>
        <v>0</v>
      </c>
      <c r="F135">
        <f t="shared" si="13"/>
        <v>558</v>
      </c>
      <c r="G135">
        <f t="shared" si="13"/>
        <v>578</v>
      </c>
      <c r="H135">
        <f t="shared" si="13"/>
        <v>550</v>
      </c>
      <c r="I135">
        <f t="shared" si="13"/>
        <v>0</v>
      </c>
    </row>
    <row r="136" spans="1:9" x14ac:dyDescent="0.3">
      <c r="A136" s="13" t="s">
        <v>150</v>
      </c>
      <c r="B136">
        <f>SUM(B135:I135)</f>
        <v>2900.8532999999998</v>
      </c>
    </row>
    <row r="151" spans="1:2" ht="15" thickBot="1" x14ac:dyDescent="0.35"/>
    <row r="152" spans="1:2" ht="18.600000000000001" thickBot="1" x14ac:dyDescent="0.4">
      <c r="A152" s="17" t="s">
        <v>152</v>
      </c>
    </row>
    <row r="154" spans="1:2" x14ac:dyDescent="0.3">
      <c r="A154" s="12" t="s">
        <v>153</v>
      </c>
      <c r="B154" s="2">
        <f>B97+C97+D97+E97+F97+I97+K97+L97+N97+P97+Q97+R97</f>
        <v>145.44471399999998</v>
      </c>
    </row>
    <row r="155" spans="1:2" x14ac:dyDescent="0.3">
      <c r="A155" s="12" t="s">
        <v>156</v>
      </c>
      <c r="B155" s="2">
        <f>B40+C40+D40+E40+F40+I40+K40+L40+N40+P40+Q40+R40</f>
        <v>4126.1763000000001</v>
      </c>
    </row>
    <row r="156" spans="1:2" x14ac:dyDescent="0.3">
      <c r="A156" s="13" t="s">
        <v>154</v>
      </c>
      <c r="B156" s="2">
        <f>B155/B154</f>
        <v>28.369379584327834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N68"/>
  <sheetViews>
    <sheetView workbookViewId="0"/>
  </sheetViews>
  <sheetFormatPr baseColWidth="10" defaultRowHeight="14.4" x14ac:dyDescent="0.3"/>
  <cols>
    <col min="1" max="1" width="23.5546875" bestFit="1" customWidth="1"/>
    <col min="5" max="5" width="12.44140625" bestFit="1" customWidth="1"/>
  </cols>
  <sheetData>
    <row r="2" spans="1:5" ht="15" thickBot="1" x14ac:dyDescent="0.35"/>
    <row r="3" spans="1:5" ht="18.600000000000001" thickBot="1" x14ac:dyDescent="0.4">
      <c r="A3" s="17" t="s">
        <v>99</v>
      </c>
    </row>
    <row r="5" spans="1:5" x14ac:dyDescent="0.3">
      <c r="A5" t="s">
        <v>100</v>
      </c>
      <c r="B5">
        <f>'MV Amalie'!B118</f>
        <v>26.555</v>
      </c>
    </row>
    <row r="6" spans="1:5" x14ac:dyDescent="0.3">
      <c r="A6" t="s">
        <v>101</v>
      </c>
      <c r="B6">
        <v>16</v>
      </c>
    </row>
    <row r="7" spans="1:5" x14ac:dyDescent="0.3">
      <c r="A7" t="s">
        <v>102</v>
      </c>
      <c r="B7" s="2">
        <f>'MV Amalie'!B115+'MV Amalie'!B116+'MV Susanne Theresa'!B110+'MV Susanne Theresa'!B111</f>
        <v>243.18556100000001</v>
      </c>
    </row>
    <row r="8" spans="1:5" x14ac:dyDescent="0.3">
      <c r="A8" t="s">
        <v>103</v>
      </c>
      <c r="B8">
        <f>36+26</f>
        <v>62</v>
      </c>
    </row>
    <row r="9" spans="1:5" x14ac:dyDescent="0.3">
      <c r="A9" t="s">
        <v>104</v>
      </c>
      <c r="B9">
        <f>'MV Lelie'!B99</f>
        <v>230.40744000000001</v>
      </c>
    </row>
    <row r="10" spans="1:5" x14ac:dyDescent="0.3">
      <c r="A10" t="s">
        <v>105</v>
      </c>
      <c r="B10">
        <v>17</v>
      </c>
      <c r="D10" t="s">
        <v>110</v>
      </c>
    </row>
    <row r="11" spans="1:5" x14ac:dyDescent="0.3">
      <c r="A11" s="1" t="s">
        <v>106</v>
      </c>
      <c r="B11">
        <f>B5/B6</f>
        <v>1.6596875</v>
      </c>
      <c r="C11" t="s">
        <v>109</v>
      </c>
      <c r="D11">
        <v>1</v>
      </c>
      <c r="E11" s="3">
        <f>0.6596875*60</f>
        <v>39.581249999999997</v>
      </c>
    </row>
    <row r="12" spans="1:5" x14ac:dyDescent="0.3">
      <c r="A12" s="1" t="s">
        <v>107</v>
      </c>
      <c r="B12">
        <f>B7/B8</f>
        <v>3.9223477580645163</v>
      </c>
      <c r="D12">
        <v>3</v>
      </c>
      <c r="E12" s="3">
        <f>0.92234776*60</f>
        <v>55.340865600000001</v>
      </c>
    </row>
    <row r="13" spans="1:5" x14ac:dyDescent="0.3">
      <c r="A13" s="1" t="s">
        <v>108</v>
      </c>
      <c r="B13">
        <f>B9/B10</f>
        <v>13.553378823529412</v>
      </c>
      <c r="D13">
        <v>12</v>
      </c>
      <c r="E13" s="3">
        <f>0.9092612*60</f>
        <v>54.555672000000001</v>
      </c>
    </row>
    <row r="15" spans="1:5" ht="15" thickBot="1" x14ac:dyDescent="0.35"/>
    <row r="16" spans="1:5" ht="18.600000000000001" thickBot="1" x14ac:dyDescent="0.4">
      <c r="A16" s="17" t="s">
        <v>111</v>
      </c>
    </row>
    <row r="18" spans="1:40" x14ac:dyDescent="0.3">
      <c r="A18" s="11" t="s">
        <v>112</v>
      </c>
    </row>
    <row r="19" spans="1:40" x14ac:dyDescent="0.3">
      <c r="A19" t="s">
        <v>36</v>
      </c>
      <c r="B19" t="s">
        <v>0</v>
      </c>
      <c r="C19" t="s">
        <v>1</v>
      </c>
      <c r="D19" t="s">
        <v>2</v>
      </c>
      <c r="E19" t="s">
        <v>3</v>
      </c>
      <c r="F19" t="s">
        <v>2</v>
      </c>
      <c r="G19" t="s">
        <v>0</v>
      </c>
      <c r="H19" t="s">
        <v>4</v>
      </c>
      <c r="I19" t="s">
        <v>5</v>
      </c>
      <c r="J19" t="s">
        <v>0</v>
      </c>
      <c r="K19" t="s">
        <v>6</v>
      </c>
      <c r="L19" t="s">
        <v>7</v>
      </c>
      <c r="M19" t="s">
        <v>2</v>
      </c>
      <c r="N19" t="s">
        <v>0</v>
      </c>
      <c r="O19" t="s">
        <v>1</v>
      </c>
      <c r="P19" t="s">
        <v>8</v>
      </c>
      <c r="Q19" t="s">
        <v>4</v>
      </c>
      <c r="R19" t="s">
        <v>5</v>
      </c>
      <c r="S19" t="s">
        <v>1</v>
      </c>
      <c r="T19" t="s">
        <v>2</v>
      </c>
      <c r="U19" t="s">
        <v>1</v>
      </c>
      <c r="V19" t="s">
        <v>0</v>
      </c>
      <c r="W19" t="s">
        <v>2</v>
      </c>
      <c r="X19" t="s">
        <v>0</v>
      </c>
      <c r="Y19" t="s">
        <v>1</v>
      </c>
      <c r="Z19" t="s">
        <v>4</v>
      </c>
      <c r="AA19" t="s">
        <v>31</v>
      </c>
      <c r="AB19" t="s">
        <v>8</v>
      </c>
      <c r="AC19" t="s">
        <v>5</v>
      </c>
      <c r="AD19" t="s">
        <v>4</v>
      </c>
      <c r="AE19" t="s">
        <v>1</v>
      </c>
      <c r="AF19" t="s">
        <v>8</v>
      </c>
      <c r="AG19" t="s">
        <v>7</v>
      </c>
      <c r="AH19" t="s">
        <v>10</v>
      </c>
      <c r="AI19" t="s">
        <v>31</v>
      </c>
      <c r="AJ19" t="s">
        <v>1</v>
      </c>
      <c r="AK19" t="s">
        <v>0</v>
      </c>
      <c r="AL19" t="s">
        <v>4</v>
      </c>
      <c r="AM19" t="s">
        <v>11</v>
      </c>
      <c r="AN19" t="s">
        <v>4</v>
      </c>
    </row>
    <row r="20" spans="1:40" x14ac:dyDescent="0.3">
      <c r="A20" t="s">
        <v>116</v>
      </c>
      <c r="B20" s="2">
        <v>0</v>
      </c>
      <c r="C20" s="2">
        <v>4.583333333333333</v>
      </c>
      <c r="D20" s="2">
        <v>4</v>
      </c>
      <c r="E20" s="2">
        <v>8.0833333333333339</v>
      </c>
      <c r="F20" s="2">
        <v>8</v>
      </c>
      <c r="G20" s="2">
        <v>5.5</v>
      </c>
      <c r="H20">
        <v>3.1666666666666665</v>
      </c>
      <c r="I20" s="2">
        <v>0</v>
      </c>
      <c r="J20" s="2">
        <v>0</v>
      </c>
      <c r="K20" s="2">
        <v>8</v>
      </c>
      <c r="L20" s="2">
        <v>2.3333333333333335</v>
      </c>
      <c r="M20" s="2">
        <v>8</v>
      </c>
      <c r="N20" s="2">
        <v>0</v>
      </c>
      <c r="O20" s="2">
        <v>11.5</v>
      </c>
      <c r="P20" s="2">
        <v>0</v>
      </c>
      <c r="Q20" s="2">
        <v>7.5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2.5</v>
      </c>
      <c r="Z20" s="2">
        <v>5.75</v>
      </c>
      <c r="AA20" s="2">
        <v>0</v>
      </c>
      <c r="AB20" s="2">
        <v>0</v>
      </c>
      <c r="AC20" s="2">
        <v>4.333333333333333</v>
      </c>
      <c r="AD20" s="2">
        <v>0</v>
      </c>
      <c r="AE20" s="2">
        <v>8</v>
      </c>
      <c r="AF20" s="2">
        <v>8</v>
      </c>
      <c r="AG20" s="2">
        <v>0.5</v>
      </c>
      <c r="AH20" s="2">
        <v>5.75</v>
      </c>
      <c r="AI20" s="2">
        <v>1.75</v>
      </c>
      <c r="AJ20" s="2">
        <v>5</v>
      </c>
      <c r="AK20" s="2">
        <v>0</v>
      </c>
      <c r="AL20" s="2">
        <v>1</v>
      </c>
      <c r="AM20" s="2">
        <v>0</v>
      </c>
      <c r="AN20" s="2">
        <v>7.666666666666667</v>
      </c>
    </row>
    <row r="21" spans="1:40" x14ac:dyDescent="0.3">
      <c r="A21" t="s">
        <v>117</v>
      </c>
      <c r="B21" s="2">
        <v>2</v>
      </c>
      <c r="C21" s="2">
        <v>8.1666666666666661</v>
      </c>
      <c r="D21" s="2">
        <v>2</v>
      </c>
      <c r="E21" s="2">
        <v>2.25</v>
      </c>
      <c r="F21" s="2">
        <v>7</v>
      </c>
      <c r="G21" s="2">
        <v>0</v>
      </c>
      <c r="H21" s="2">
        <v>0</v>
      </c>
      <c r="I21" s="2">
        <v>5.5</v>
      </c>
      <c r="J21" s="2">
        <v>2.5</v>
      </c>
      <c r="K21" s="2">
        <v>7</v>
      </c>
      <c r="L21" s="2">
        <v>0</v>
      </c>
      <c r="M21" s="2">
        <v>3.4166666666666665</v>
      </c>
      <c r="N21" s="2">
        <v>2.1666666666666665</v>
      </c>
      <c r="O21" s="2">
        <v>7</v>
      </c>
      <c r="P21" s="2">
        <v>2</v>
      </c>
      <c r="Q21" s="2">
        <v>0</v>
      </c>
      <c r="R21" s="2">
        <v>1.42</v>
      </c>
      <c r="S21" s="2">
        <v>0.66666666666666663</v>
      </c>
      <c r="T21" s="2">
        <v>1.8333333333333335</v>
      </c>
      <c r="U21" s="2">
        <v>0</v>
      </c>
      <c r="V21" s="2">
        <v>0</v>
      </c>
      <c r="W21" s="2">
        <v>2.25</v>
      </c>
      <c r="X21" s="2">
        <v>0.83333333333333337</v>
      </c>
      <c r="Y21" s="2">
        <v>0</v>
      </c>
      <c r="Z21" s="2">
        <v>0</v>
      </c>
      <c r="AA21" s="2">
        <v>2.42</v>
      </c>
      <c r="AB21" s="2">
        <v>0.41666666666666669</v>
      </c>
      <c r="AC21" s="2">
        <v>0.67</v>
      </c>
      <c r="AD21" s="2">
        <v>0</v>
      </c>
      <c r="AE21" s="2">
        <v>6</v>
      </c>
      <c r="AF21" s="2">
        <v>8.6666666666666661</v>
      </c>
      <c r="AG21" s="2">
        <v>4.83</v>
      </c>
      <c r="AH21" s="2">
        <v>0</v>
      </c>
      <c r="AI21" s="2">
        <v>6.33</v>
      </c>
      <c r="AJ21" s="2">
        <v>0</v>
      </c>
      <c r="AK21" s="2">
        <v>6.416666666666667</v>
      </c>
      <c r="AL21" s="2">
        <v>7</v>
      </c>
      <c r="AM21" s="2">
        <v>0</v>
      </c>
      <c r="AN21" s="2">
        <v>7</v>
      </c>
    </row>
    <row r="22" spans="1:40" x14ac:dyDescent="0.3">
      <c r="A22" t="s">
        <v>118</v>
      </c>
      <c r="B22" s="2">
        <v>0</v>
      </c>
      <c r="C22" s="2">
        <v>3.7500000000000018</v>
      </c>
      <c r="D22" s="2">
        <v>0</v>
      </c>
      <c r="E22" s="2">
        <v>-3.3333333333338544E-3</v>
      </c>
      <c r="F22" s="2">
        <v>2.5</v>
      </c>
      <c r="G22" s="2">
        <v>7.5</v>
      </c>
      <c r="H22" s="2">
        <v>1.8333333333333335</v>
      </c>
      <c r="I22" s="2">
        <v>0.83</v>
      </c>
      <c r="J22" s="2">
        <v>0</v>
      </c>
      <c r="K22" s="2">
        <v>5.4200000000000017</v>
      </c>
      <c r="L22" s="2">
        <v>61.086666666666666</v>
      </c>
      <c r="M22" s="2">
        <v>3</v>
      </c>
      <c r="N22" s="2">
        <v>6.7533333333333339</v>
      </c>
      <c r="O22" s="2">
        <v>9.6666666666666661</v>
      </c>
      <c r="P22" s="2">
        <v>0.83333333333333337</v>
      </c>
      <c r="Q22" s="2">
        <v>4</v>
      </c>
      <c r="R22" s="2">
        <v>2</v>
      </c>
      <c r="S22" s="2">
        <v>3.3333333333334103E-3</v>
      </c>
      <c r="T22" s="2">
        <v>1.4166666666666667</v>
      </c>
      <c r="U22" s="2">
        <v>5.33</v>
      </c>
      <c r="V22" s="2">
        <v>0</v>
      </c>
      <c r="W22" s="2">
        <v>0</v>
      </c>
      <c r="X22" s="2">
        <v>1.6666666666666665</v>
      </c>
      <c r="Y22" s="2">
        <v>5.75</v>
      </c>
      <c r="Z22" s="2">
        <v>7.17</v>
      </c>
      <c r="AA22" s="2">
        <v>0</v>
      </c>
      <c r="AB22" s="2">
        <v>3.9133333333333336</v>
      </c>
      <c r="AC22" s="2">
        <v>-3.3333333333330772E-3</v>
      </c>
      <c r="AD22" s="2">
        <v>2.5</v>
      </c>
      <c r="AE22" s="2">
        <v>9</v>
      </c>
      <c r="AF22" s="2">
        <v>12.583333333333334</v>
      </c>
      <c r="AG22" s="2">
        <v>0</v>
      </c>
      <c r="AH22" s="2">
        <v>0</v>
      </c>
      <c r="AI22" s="2">
        <v>0</v>
      </c>
      <c r="AJ22" s="2">
        <v>0</v>
      </c>
      <c r="AK22" s="2">
        <v>2.2000000000000002</v>
      </c>
      <c r="AL22" s="2">
        <v>0.58000000000000007</v>
      </c>
      <c r="AM22" s="2">
        <v>4.75</v>
      </c>
      <c r="AN22" s="2">
        <v>3.4333333333333336</v>
      </c>
    </row>
    <row r="24" spans="1:40" x14ac:dyDescent="0.3">
      <c r="A24" s="11" t="s">
        <v>113</v>
      </c>
    </row>
    <row r="25" spans="1:40" x14ac:dyDescent="0.3">
      <c r="A25" t="s">
        <v>36</v>
      </c>
      <c r="B25" t="s">
        <v>7</v>
      </c>
      <c r="C25" t="s">
        <v>38</v>
      </c>
      <c r="D25" t="s">
        <v>5</v>
      </c>
      <c r="E25" t="s">
        <v>31</v>
      </c>
      <c r="F25" t="s">
        <v>12</v>
      </c>
      <c r="G25" t="s">
        <v>0</v>
      </c>
      <c r="H25" t="s">
        <v>23</v>
      </c>
      <c r="I25" t="s">
        <v>13</v>
      </c>
      <c r="J25" t="s">
        <v>14</v>
      </c>
      <c r="K25" t="s">
        <v>24</v>
      </c>
      <c r="L25" t="s">
        <v>15</v>
      </c>
      <c r="M25" t="s">
        <v>31</v>
      </c>
      <c r="N25" t="s">
        <v>16</v>
      </c>
      <c r="O25" t="s">
        <v>5</v>
      </c>
      <c r="P25" t="s">
        <v>7</v>
      </c>
      <c r="Q25" t="s">
        <v>4</v>
      </c>
      <c r="R25" t="s">
        <v>31</v>
      </c>
      <c r="S25" t="s">
        <v>0</v>
      </c>
      <c r="T25" t="s">
        <v>18</v>
      </c>
      <c r="U25" t="s">
        <v>23</v>
      </c>
      <c r="V25" t="s">
        <v>31</v>
      </c>
      <c r="W25" t="s">
        <v>5</v>
      </c>
      <c r="X25" t="s">
        <v>31</v>
      </c>
      <c r="Y25" t="s">
        <v>17</v>
      </c>
    </row>
    <row r="26" spans="1:40" x14ac:dyDescent="0.3">
      <c r="A26" t="s">
        <v>116</v>
      </c>
      <c r="B26">
        <v>6.583333333333333</v>
      </c>
      <c r="C26">
        <v>0</v>
      </c>
      <c r="D26">
        <v>0</v>
      </c>
      <c r="E26">
        <v>13.083333333333334</v>
      </c>
      <c r="F26">
        <v>1.0833333333333333</v>
      </c>
      <c r="G26">
        <v>3.25</v>
      </c>
      <c r="H26">
        <v>3.6666666666666665</v>
      </c>
      <c r="I26">
        <v>0</v>
      </c>
      <c r="J26">
        <v>0</v>
      </c>
      <c r="K26">
        <v>7</v>
      </c>
      <c r="L26">
        <v>1.25</v>
      </c>
      <c r="M26">
        <v>5</v>
      </c>
      <c r="N26">
        <v>0</v>
      </c>
      <c r="O26">
        <v>4.166666666666667</v>
      </c>
      <c r="P26">
        <v>4.333333333333333</v>
      </c>
      <c r="Q26">
        <v>0</v>
      </c>
      <c r="R26">
        <v>0</v>
      </c>
      <c r="S26">
        <v>0</v>
      </c>
      <c r="T26">
        <v>0</v>
      </c>
      <c r="U26">
        <v>2.17</v>
      </c>
      <c r="V26">
        <v>4.75</v>
      </c>
      <c r="W26">
        <v>8</v>
      </c>
      <c r="X26">
        <v>37.5</v>
      </c>
    </row>
    <row r="27" spans="1:40" x14ac:dyDescent="0.3">
      <c r="A27" t="s">
        <v>117</v>
      </c>
      <c r="B27">
        <v>5</v>
      </c>
      <c r="C27">
        <v>1.25</v>
      </c>
      <c r="D27">
        <v>1.75</v>
      </c>
      <c r="E27">
        <v>14</v>
      </c>
      <c r="F27">
        <v>0</v>
      </c>
      <c r="G27">
        <v>0</v>
      </c>
      <c r="H27">
        <v>0</v>
      </c>
      <c r="I27">
        <v>3.5</v>
      </c>
      <c r="J27">
        <v>0</v>
      </c>
      <c r="K27">
        <v>7</v>
      </c>
      <c r="L27">
        <v>7</v>
      </c>
      <c r="M27">
        <v>0</v>
      </c>
      <c r="N27">
        <v>0</v>
      </c>
      <c r="O27">
        <v>4.166666666666667</v>
      </c>
      <c r="P27">
        <v>7</v>
      </c>
      <c r="Q27">
        <v>1.92</v>
      </c>
      <c r="R27">
        <v>0</v>
      </c>
      <c r="S27">
        <v>2.8333333333333335</v>
      </c>
      <c r="T27">
        <v>1</v>
      </c>
      <c r="U27">
        <v>0</v>
      </c>
      <c r="V27">
        <v>0.25</v>
      </c>
      <c r="W27">
        <v>8.6666666666666661</v>
      </c>
      <c r="X27">
        <v>34.94</v>
      </c>
    </row>
    <row r="28" spans="1:40" x14ac:dyDescent="0.3">
      <c r="A28" t="s">
        <v>118</v>
      </c>
      <c r="B28">
        <v>0</v>
      </c>
      <c r="C28">
        <v>3</v>
      </c>
      <c r="D28">
        <v>1.0833333333333333</v>
      </c>
      <c r="E28">
        <v>14.916666666666666</v>
      </c>
      <c r="F28">
        <v>1.75</v>
      </c>
      <c r="G28">
        <v>5.083333333333333</v>
      </c>
      <c r="H28">
        <v>0.75</v>
      </c>
      <c r="I28">
        <v>6</v>
      </c>
      <c r="J28">
        <v>2.58</v>
      </c>
      <c r="K28">
        <v>2</v>
      </c>
      <c r="L28">
        <v>1.5833333333333335</v>
      </c>
      <c r="M28">
        <v>3.92</v>
      </c>
      <c r="N28">
        <v>4.2699999999999996</v>
      </c>
      <c r="O28">
        <v>0</v>
      </c>
      <c r="P28">
        <v>0.83333333333333337</v>
      </c>
      <c r="Q28">
        <v>0</v>
      </c>
      <c r="R28">
        <v>4.58</v>
      </c>
      <c r="S28">
        <v>0.83333333333333337</v>
      </c>
      <c r="T28">
        <v>7.25</v>
      </c>
      <c r="U28">
        <v>0</v>
      </c>
      <c r="V28">
        <v>0</v>
      </c>
      <c r="W28">
        <v>9</v>
      </c>
      <c r="X28">
        <v>32.393299999999996</v>
      </c>
    </row>
    <row r="30" spans="1:40" x14ac:dyDescent="0.3">
      <c r="A30" s="11" t="s">
        <v>114</v>
      </c>
    </row>
    <row r="31" spans="1:40" x14ac:dyDescent="0.3">
      <c r="A31" t="s">
        <v>36</v>
      </c>
      <c r="B31" t="s">
        <v>0</v>
      </c>
      <c r="C31" t="s">
        <v>1</v>
      </c>
      <c r="D31" t="s">
        <v>4</v>
      </c>
      <c r="E31" t="s">
        <v>5</v>
      </c>
      <c r="F31" t="s">
        <v>1</v>
      </c>
      <c r="G31" t="s">
        <v>19</v>
      </c>
      <c r="H31" t="s">
        <v>19</v>
      </c>
      <c r="I31" t="s">
        <v>13</v>
      </c>
      <c r="J31" t="s">
        <v>20</v>
      </c>
      <c r="K31" t="s">
        <v>1</v>
      </c>
      <c r="L31" t="s">
        <v>0</v>
      </c>
      <c r="M31" t="s">
        <v>19</v>
      </c>
      <c r="N31" t="s">
        <v>13</v>
      </c>
      <c r="O31" t="s">
        <v>21</v>
      </c>
      <c r="P31" t="s">
        <v>4</v>
      </c>
      <c r="Q31" t="s">
        <v>7</v>
      </c>
      <c r="R31" t="s">
        <v>22</v>
      </c>
      <c r="S31" t="s">
        <v>19</v>
      </c>
    </row>
    <row r="32" spans="1:40" x14ac:dyDescent="0.3">
      <c r="A32" t="s">
        <v>116</v>
      </c>
      <c r="B32">
        <v>2.97</v>
      </c>
      <c r="C32">
        <v>0.3</v>
      </c>
      <c r="D32">
        <v>3.9333</v>
      </c>
      <c r="E32">
        <v>8</v>
      </c>
      <c r="F32">
        <v>1.85</v>
      </c>
      <c r="G32">
        <v>8</v>
      </c>
      <c r="H32">
        <v>0</v>
      </c>
      <c r="I32">
        <f>25.25-I33-I34</f>
        <v>9.2333332999999982</v>
      </c>
      <c r="J32">
        <f>28.72-J33-J34</f>
        <v>12.719999999999999</v>
      </c>
      <c r="K32">
        <v>9.9666669999999993</v>
      </c>
      <c r="L32">
        <v>4.08</v>
      </c>
      <c r="M32">
        <v>8</v>
      </c>
      <c r="N32">
        <f>21/60</f>
        <v>0.35</v>
      </c>
      <c r="O32">
        <v>0</v>
      </c>
      <c r="P32">
        <v>7.7833300000000003</v>
      </c>
      <c r="Q32">
        <v>4.45</v>
      </c>
      <c r="R32">
        <v>24</v>
      </c>
      <c r="S32">
        <v>16</v>
      </c>
    </row>
    <row r="33" spans="1:19" x14ac:dyDescent="0.3">
      <c r="A33" t="s">
        <v>117</v>
      </c>
      <c r="B33">
        <v>0</v>
      </c>
      <c r="C33">
        <v>7</v>
      </c>
      <c r="D33">
        <v>1.7</v>
      </c>
      <c r="E33">
        <v>9.1999999999999993</v>
      </c>
      <c r="F33">
        <v>7</v>
      </c>
      <c r="G33">
        <f>6.4+1.133</f>
        <v>7.5330000000000004</v>
      </c>
      <c r="H33">
        <v>1.76666667</v>
      </c>
      <c r="I33">
        <v>7.0166667</v>
      </c>
      <c r="J33">
        <v>7</v>
      </c>
      <c r="K33">
        <v>7</v>
      </c>
      <c r="L33">
        <v>0</v>
      </c>
      <c r="M33">
        <v>7</v>
      </c>
      <c r="N33">
        <f>8.27-N32-N34</f>
        <v>7.3033333333333328</v>
      </c>
      <c r="O33">
        <v>0.27</v>
      </c>
      <c r="P33">
        <v>0</v>
      </c>
      <c r="Q33">
        <v>7</v>
      </c>
      <c r="R33">
        <f>19+97/60</f>
        <v>20.616666666666667</v>
      </c>
      <c r="S33">
        <f>9+4/60</f>
        <v>9.0666666666666664</v>
      </c>
    </row>
    <row r="34" spans="1:19" x14ac:dyDescent="0.3">
      <c r="A34" t="s">
        <v>118</v>
      </c>
      <c r="B34">
        <v>0</v>
      </c>
      <c r="C34">
        <v>9</v>
      </c>
      <c r="D34">
        <v>9</v>
      </c>
      <c r="E34">
        <v>9</v>
      </c>
      <c r="F34">
        <v>0.58333299999999999</v>
      </c>
      <c r="G34">
        <v>9</v>
      </c>
      <c r="H34">
        <f>3.4-H33</f>
        <v>1.6333333299999999</v>
      </c>
      <c r="I34">
        <v>9</v>
      </c>
      <c r="J34">
        <v>9</v>
      </c>
      <c r="K34">
        <v>10.783329999999999</v>
      </c>
      <c r="L34">
        <v>0</v>
      </c>
      <c r="M34">
        <f>23.17-M33-M32</f>
        <v>8.1700000000000017</v>
      </c>
      <c r="N34">
        <f>37/60</f>
        <v>0.6166666666666667</v>
      </c>
      <c r="O34">
        <v>0</v>
      </c>
      <c r="P34">
        <v>1.05</v>
      </c>
      <c r="Q34">
        <v>7.1666699999999999</v>
      </c>
      <c r="R34">
        <f>63.38-R33-R32</f>
        <v>18.763333333333335</v>
      </c>
      <c r="S34">
        <f>36.38-S32-S33</f>
        <v>11.313333333333336</v>
      </c>
    </row>
    <row r="36" spans="1:19" x14ac:dyDescent="0.3">
      <c r="A36" t="s">
        <v>115</v>
      </c>
      <c r="B36" s="2">
        <f>SUM(B32:S34)+SUM(B26:X28)+SUM(B20:AN22)</f>
        <v>1046.2629300000001</v>
      </c>
    </row>
    <row r="37" spans="1:19" x14ac:dyDescent="0.3">
      <c r="A37" s="1" t="s">
        <v>119</v>
      </c>
      <c r="B37" s="8">
        <f>(SUM(32:32)+SUM(26:26)+SUM(20:20))/$B$36</f>
        <v>0.3310735319976722</v>
      </c>
    </row>
    <row r="38" spans="1:19" x14ac:dyDescent="0.3">
      <c r="A38" s="1" t="s">
        <v>120</v>
      </c>
      <c r="B38" s="8">
        <f t="shared" ref="B38:B39" si="0">(SUM(33:33)+SUM(27:27)+SUM(21:21))/$B$36</f>
        <v>0.30059652408469317</v>
      </c>
    </row>
    <row r="39" spans="1:19" x14ac:dyDescent="0.3">
      <c r="A39" s="1" t="s">
        <v>121</v>
      </c>
      <c r="B39" s="8">
        <f t="shared" si="0"/>
        <v>0.36832994391763452</v>
      </c>
    </row>
    <row r="52" spans="1:8" ht="15" thickBot="1" x14ac:dyDescent="0.35"/>
    <row r="53" spans="1:8" ht="18.600000000000001" thickBot="1" x14ac:dyDescent="0.4">
      <c r="A53" s="17" t="s">
        <v>147</v>
      </c>
    </row>
    <row r="55" spans="1:8" x14ac:dyDescent="0.3">
      <c r="B55" t="s">
        <v>0</v>
      </c>
      <c r="C55" t="s">
        <v>1</v>
      </c>
      <c r="D55" t="s">
        <v>2</v>
      </c>
      <c r="E55" t="s">
        <v>4</v>
      </c>
      <c r="F55" t="s">
        <v>31</v>
      </c>
      <c r="G55" t="s">
        <v>5</v>
      </c>
      <c r="H55" t="s">
        <v>7</v>
      </c>
    </row>
    <row r="56" spans="1:8" x14ac:dyDescent="0.3">
      <c r="A56" s="11" t="s">
        <v>124</v>
      </c>
      <c r="B56">
        <f t="shared" ref="B56:H58" si="1">SUMIF($B$25:$AN$25,B$55,$B26:$AN26)+SUMIF($B$31:$AN$31,B$55,$B32:$AN32)+SUMIF($B$19:$AN$19,B$55,$B20:$AN20)</f>
        <v>17.8</v>
      </c>
      <c r="C56">
        <f t="shared" si="1"/>
        <v>43.700000333333335</v>
      </c>
      <c r="D56">
        <f t="shared" si="1"/>
        <v>20</v>
      </c>
      <c r="E56">
        <f t="shared" si="1"/>
        <v>36.799963333333331</v>
      </c>
      <c r="F56">
        <f t="shared" si="1"/>
        <v>62.083333333333336</v>
      </c>
      <c r="G56">
        <f t="shared" si="1"/>
        <v>24.5</v>
      </c>
      <c r="H56">
        <f t="shared" si="1"/>
        <v>18.2</v>
      </c>
    </row>
    <row r="57" spans="1:8" x14ac:dyDescent="0.3">
      <c r="A57" s="11" t="s">
        <v>123</v>
      </c>
      <c r="B57">
        <f t="shared" si="1"/>
        <v>16.75</v>
      </c>
      <c r="C57">
        <f t="shared" si="1"/>
        <v>42.833333333333329</v>
      </c>
      <c r="D57">
        <f t="shared" si="1"/>
        <v>16.5</v>
      </c>
      <c r="E57">
        <f t="shared" si="1"/>
        <v>17.62</v>
      </c>
      <c r="F57">
        <f t="shared" si="1"/>
        <v>57.94</v>
      </c>
      <c r="G57">
        <f t="shared" si="1"/>
        <v>31.373333333333331</v>
      </c>
      <c r="H57">
        <f t="shared" si="1"/>
        <v>23.83</v>
      </c>
    </row>
    <row r="58" spans="1:8" x14ac:dyDescent="0.3">
      <c r="A58" s="11" t="s">
        <v>122</v>
      </c>
      <c r="B58">
        <f t="shared" si="1"/>
        <v>24.036666666666669</v>
      </c>
      <c r="C58">
        <f t="shared" si="1"/>
        <v>53.866663000000003</v>
      </c>
      <c r="D58">
        <f t="shared" si="1"/>
        <v>6.916666666666667</v>
      </c>
      <c r="E58">
        <f t="shared" si="1"/>
        <v>29.56666666666667</v>
      </c>
      <c r="F58">
        <f t="shared" si="1"/>
        <v>55.809966666666661</v>
      </c>
      <c r="G58">
        <f t="shared" si="1"/>
        <v>21.910000000000004</v>
      </c>
      <c r="H58">
        <f t="shared" si="1"/>
        <v>69.086669999999998</v>
      </c>
    </row>
    <row r="59" spans="1:8" x14ac:dyDescent="0.3">
      <c r="A59" s="1" t="s">
        <v>125</v>
      </c>
      <c r="B59">
        <f>SUM(B56:B58)</f>
        <v>58.586666666666666</v>
      </c>
      <c r="C59">
        <f t="shared" ref="C59:H59" si="2">SUM(C56:C58)</f>
        <v>140.39999666666665</v>
      </c>
      <c r="D59">
        <f t="shared" si="2"/>
        <v>43.416666666666664</v>
      </c>
      <c r="E59">
        <f t="shared" si="2"/>
        <v>83.986629999999991</v>
      </c>
      <c r="F59">
        <f t="shared" si="2"/>
        <v>175.83330000000001</v>
      </c>
      <c r="G59">
        <f t="shared" si="2"/>
        <v>77.783333333333331</v>
      </c>
      <c r="H59">
        <f t="shared" si="2"/>
        <v>111.11667</v>
      </c>
    </row>
    <row r="60" spans="1:8" x14ac:dyDescent="0.3">
      <c r="A60" s="1" t="s">
        <v>119</v>
      </c>
      <c r="B60" s="8">
        <f>B56/B$59</f>
        <v>0.30382339553937188</v>
      </c>
      <c r="C60" s="8">
        <f t="shared" ref="C60:H60" si="3">C56/C$59</f>
        <v>0.31125357101741624</v>
      </c>
      <c r="D60" s="8">
        <f t="shared" si="3"/>
        <v>0.46065259117082535</v>
      </c>
      <c r="E60" s="8">
        <f t="shared" si="3"/>
        <v>0.43816454277702693</v>
      </c>
      <c r="F60" s="8">
        <f t="shared" si="3"/>
        <v>0.35308063565509679</v>
      </c>
      <c r="G60" s="8">
        <f t="shared" si="3"/>
        <v>0.31497750160702809</v>
      </c>
      <c r="H60" s="8">
        <f t="shared" si="3"/>
        <v>0.16379180549597103</v>
      </c>
    </row>
    <row r="61" spans="1:8" x14ac:dyDescent="0.3">
      <c r="A61" s="1" t="s">
        <v>120</v>
      </c>
      <c r="B61" s="8">
        <f t="shared" ref="B61:H62" si="4">B57/B$59</f>
        <v>0.28590122894856623</v>
      </c>
      <c r="C61" s="8">
        <f t="shared" si="4"/>
        <v>0.30508072899052063</v>
      </c>
      <c r="D61" s="8">
        <f t="shared" si="4"/>
        <v>0.3800383877159309</v>
      </c>
      <c r="E61" s="8">
        <f t="shared" si="4"/>
        <v>0.20979529718003928</v>
      </c>
      <c r="F61" s="8">
        <f t="shared" si="4"/>
        <v>0.32951665014533649</v>
      </c>
      <c r="G61" s="8">
        <f t="shared" si="4"/>
        <v>0.40334261838440111</v>
      </c>
      <c r="H61" s="8">
        <f t="shared" si="4"/>
        <v>0.21445927060269174</v>
      </c>
    </row>
    <row r="62" spans="1:8" x14ac:dyDescent="0.3">
      <c r="A62" s="1" t="s">
        <v>121</v>
      </c>
      <c r="B62" s="8">
        <f t="shared" si="4"/>
        <v>0.41027537551206195</v>
      </c>
      <c r="C62" s="8">
        <f t="shared" si="4"/>
        <v>0.38366569999206324</v>
      </c>
      <c r="D62" s="8">
        <f t="shared" si="4"/>
        <v>0.15930902111324377</v>
      </c>
      <c r="E62" s="8">
        <f t="shared" si="4"/>
        <v>0.35204016004293387</v>
      </c>
      <c r="F62" s="8">
        <f t="shared" si="4"/>
        <v>0.31740271419956662</v>
      </c>
      <c r="G62" s="8">
        <f t="shared" si="4"/>
        <v>0.28167988000857086</v>
      </c>
      <c r="H62" s="8">
        <f t="shared" si="4"/>
        <v>0.62174892390133718</v>
      </c>
    </row>
    <row r="64" spans="1:8" ht="15" thickBot="1" x14ac:dyDescent="0.35"/>
    <row r="65" spans="1:9" ht="18.600000000000001" thickBot="1" x14ac:dyDescent="0.4">
      <c r="A65" s="17" t="s">
        <v>155</v>
      </c>
    </row>
    <row r="66" spans="1:9" x14ac:dyDescent="0.3">
      <c r="B66" t="s">
        <v>0</v>
      </c>
      <c r="C66" t="s">
        <v>1</v>
      </c>
      <c r="D66" t="s">
        <v>2</v>
      </c>
      <c r="E66" t="s">
        <v>31</v>
      </c>
      <c r="F66" t="s">
        <v>4</v>
      </c>
      <c r="G66" t="s">
        <v>5</v>
      </c>
      <c r="H66" t="s">
        <v>7</v>
      </c>
      <c r="I66" t="s">
        <v>149</v>
      </c>
    </row>
    <row r="67" spans="1:9" x14ac:dyDescent="0.3">
      <c r="A67" s="1" t="s">
        <v>148</v>
      </c>
      <c r="B67" s="2">
        <f>SUMIF('MV Amalie'!$B$39:$AN$39,Samlet!B66,'MV Amalie'!$B$48:$AN$48)+SUMIF('MV Susanne Theresa'!$B$41:$Y$41,Samlet!B66,'MV Susanne Theresa'!$B$46:$Y$46)</f>
        <v>1842</v>
      </c>
      <c r="C67" s="2">
        <f>SUMIF('MV Amalie'!$B$39:$AN$39,Samlet!C66,'MV Amalie'!$B$48:$AN$48)+SUMIF('MV Susanne Theresa'!$B$41:$Y$41,Samlet!C66,'MV Susanne Theresa'!$B$46:$Y$46)</f>
        <v>730</v>
      </c>
      <c r="D67" s="2">
        <f>SUMIF('MV Amalie'!$B$39:$AN$39,Samlet!D66,'MV Amalie'!$B$48:$AN$48)+SUMIF('MV Susanne Theresa'!$B$41:$Y$41,Samlet!D66,'MV Susanne Theresa'!$B$46:$Y$46)</f>
        <v>610</v>
      </c>
      <c r="E67" s="2">
        <f>SUMIF('MV Amalie'!$B$39:$AN$39,Samlet!E66,'MV Amalie'!$B$48:$AN$48)+SUMIF('MV Susanne Theresa'!$B$41:$Y$41,Samlet!E66,'MV Susanne Theresa'!$B$46:$Y$46)</f>
        <v>1137</v>
      </c>
      <c r="F67" s="2">
        <f>SUMIF('MV Amalie'!$B$39:$AN$39,Samlet!F66,'MV Amalie'!$B$48:$AN$48)+SUMIF('MV Susanne Theresa'!$B$41:$Y$41,Samlet!F66,'MV Susanne Theresa'!$B$46:$Y$46)</f>
        <v>2088</v>
      </c>
      <c r="G67" s="2">
        <f>SUMIF('MV Amalie'!$B$39:$AN$39,Samlet!G66,'MV Amalie'!$B$48:$AN$48)+SUMIF('MV Susanne Theresa'!$B$41:$Y$41,Samlet!G66,'MV Susanne Theresa'!$B$46:$Y$46)</f>
        <v>1543</v>
      </c>
      <c r="H67" s="2">
        <f>SUMIF('MV Amalie'!$B$39:$AN$39,Samlet!H66,'MV Amalie'!$B$48:$AN$48)+SUMIF('MV Susanne Theresa'!$B$41:$Y$41,Samlet!H66,'MV Susanne Theresa'!$B$46:$Y$46)</f>
        <v>1001</v>
      </c>
      <c r="I67" s="2">
        <f>SUMIF('MV Amalie'!$B$39:$AN$39,Samlet!I66,'MV Amalie'!$B$48:$AN$48)+SUMIF('MV Susanne Theresa'!$B$41:$Y$41,Samlet!I66,'MV Susanne Theresa'!$B$46:$Y$46)</f>
        <v>0</v>
      </c>
    </row>
    <row r="68" spans="1:9" x14ac:dyDescent="0.3">
      <c r="A68" s="1" t="s">
        <v>150</v>
      </c>
      <c r="B68" s="2">
        <f>SUM(B67:I67)</f>
        <v>8951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MV Amalie</vt:lpstr>
      <vt:lpstr>MV Susanne Theresa</vt:lpstr>
      <vt:lpstr>MV Lelie</vt:lpstr>
      <vt:lpstr>Samlet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Moen</dc:creator>
  <cp:lastModifiedBy>Eirik Moen</cp:lastModifiedBy>
  <dcterms:created xsi:type="dcterms:W3CDTF">2016-04-20T08:53:52Z</dcterms:created>
  <dcterms:modified xsi:type="dcterms:W3CDTF">2016-06-13T16:46:51Z</dcterms:modified>
</cp:coreProperties>
</file>